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QETDOS\2010 a 2013\"/>
    </mc:Choice>
  </mc:AlternateContent>
  <bookViews>
    <workbookView xWindow="0" yWindow="0" windowWidth="20490" windowHeight="7755"/>
  </bookViews>
  <sheets>
    <sheet name="im pay pro 2011" sheetId="1" r:id="rId1"/>
  </sheets>
  <calcPr calcId="0"/>
</workbook>
</file>

<file path=xl/calcChain.xml><?xml version="1.0" encoding="utf-8"?>
<calcChain xmlns="http://schemas.openxmlformats.org/spreadsheetml/2006/main">
  <c r="B3" i="1" l="1"/>
  <c r="B4" i="1"/>
  <c r="B5" i="1"/>
  <c r="B6" i="1"/>
  <c r="B7" i="1"/>
  <c r="B8" i="1"/>
  <c r="B9" i="1"/>
  <c r="C14" i="1"/>
  <c r="D14" i="1"/>
  <c r="C15" i="1"/>
  <c r="D15" i="1"/>
  <c r="A10635" i="1"/>
  <c r="B10635" i="1"/>
  <c r="A16" i="1"/>
  <c r="B16" i="1"/>
  <c r="A17" i="1"/>
  <c r="B17" i="1"/>
  <c r="A18" i="1"/>
  <c r="A19" i="1"/>
  <c r="B19" i="1"/>
  <c r="A20" i="1"/>
  <c r="B20" i="1"/>
  <c r="A21" i="1"/>
  <c r="A22" i="1"/>
  <c r="B22" i="1"/>
  <c r="A23" i="1"/>
  <c r="B23" i="1"/>
  <c r="A24" i="1"/>
  <c r="B24" i="1"/>
  <c r="A25" i="1"/>
  <c r="A26" i="1"/>
  <c r="B26" i="1"/>
  <c r="A27" i="1"/>
  <c r="B27" i="1"/>
  <c r="A28" i="1"/>
  <c r="B28" i="1"/>
  <c r="A29" i="1"/>
  <c r="B29" i="1"/>
  <c r="A30" i="1"/>
  <c r="B30" i="1"/>
  <c r="A31" i="1"/>
  <c r="B31" i="1"/>
  <c r="A32" i="1"/>
  <c r="B32" i="1"/>
  <c r="A33" i="1"/>
  <c r="A34" i="1"/>
  <c r="B34" i="1"/>
  <c r="A35" i="1"/>
  <c r="B35" i="1"/>
  <c r="A36" i="1"/>
  <c r="B36" i="1"/>
  <c r="A37" i="1"/>
  <c r="B37" i="1"/>
  <c r="A38" i="1"/>
  <c r="B38" i="1"/>
  <c r="A39" i="1"/>
  <c r="A40" i="1"/>
  <c r="B40" i="1"/>
  <c r="A41" i="1"/>
  <c r="B41" i="1"/>
  <c r="A42" i="1"/>
  <c r="B42" i="1"/>
  <c r="A43" i="1"/>
  <c r="B43" i="1"/>
  <c r="A44" i="1"/>
  <c r="A45" i="1"/>
  <c r="B45" i="1"/>
  <c r="A46" i="1"/>
  <c r="B46" i="1"/>
  <c r="A47" i="1"/>
  <c r="B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A67" i="1"/>
  <c r="A68" i="1"/>
  <c r="A69" i="1"/>
  <c r="A70" i="1"/>
  <c r="B70" i="1"/>
  <c r="A71" i="1"/>
  <c r="B71" i="1"/>
  <c r="A72" i="1"/>
  <c r="B72" i="1"/>
  <c r="A73" i="1"/>
  <c r="B73" i="1"/>
  <c r="A74" i="1"/>
  <c r="B74" i="1"/>
  <c r="A75" i="1"/>
  <c r="A76" i="1"/>
  <c r="B76" i="1"/>
  <c r="A77" i="1"/>
  <c r="B77" i="1"/>
  <c r="A78" i="1"/>
  <c r="B78" i="1"/>
  <c r="A79" i="1"/>
  <c r="A80" i="1"/>
  <c r="B80" i="1"/>
  <c r="A81" i="1"/>
  <c r="A82" i="1"/>
  <c r="B82" i="1"/>
  <c r="A83" i="1"/>
  <c r="B83" i="1"/>
  <c r="A84" i="1"/>
  <c r="B84" i="1"/>
  <c r="A85" i="1"/>
  <c r="B85" i="1"/>
  <c r="A86" i="1"/>
  <c r="B86" i="1"/>
  <c r="A87" i="1"/>
  <c r="B87" i="1"/>
  <c r="A88" i="1"/>
  <c r="B88" i="1"/>
  <c r="A89" i="1"/>
  <c r="B89" i="1"/>
  <c r="A90" i="1"/>
  <c r="A91" i="1"/>
  <c r="B91" i="1"/>
  <c r="A92" i="1"/>
  <c r="B92" i="1"/>
  <c r="A93" i="1"/>
  <c r="B93" i="1"/>
  <c r="A94" i="1"/>
  <c r="B94" i="1"/>
  <c r="A95" i="1"/>
  <c r="A96" i="1"/>
  <c r="A97" i="1"/>
  <c r="A98" i="1"/>
  <c r="B98" i="1"/>
  <c r="A99" i="1"/>
  <c r="B99" i="1"/>
  <c r="A100" i="1"/>
  <c r="B100" i="1"/>
  <c r="A101" i="1"/>
  <c r="B101" i="1"/>
  <c r="A102" i="1"/>
  <c r="B102" i="1"/>
  <c r="A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A118" i="1"/>
  <c r="A119" i="1"/>
  <c r="A120" i="1"/>
  <c r="B120" i="1"/>
  <c r="A121" i="1"/>
  <c r="B121" i="1"/>
  <c r="A122" i="1"/>
  <c r="B122" i="1"/>
  <c r="A123" i="1"/>
  <c r="A124" i="1"/>
  <c r="A125" i="1"/>
  <c r="A126" i="1"/>
  <c r="A127" i="1"/>
  <c r="A128" i="1"/>
  <c r="B128" i="1"/>
  <c r="A129" i="1"/>
  <c r="B129" i="1"/>
  <c r="A130" i="1"/>
  <c r="B130" i="1"/>
  <c r="A131" i="1"/>
  <c r="A132" i="1"/>
  <c r="B132" i="1"/>
  <c r="A133" i="1"/>
  <c r="B133" i="1"/>
  <c r="A134" i="1"/>
  <c r="B134" i="1"/>
  <c r="A135" i="1"/>
  <c r="B135" i="1"/>
  <c r="A136" i="1"/>
  <c r="A137" i="1"/>
  <c r="B137" i="1"/>
  <c r="A138" i="1"/>
  <c r="A139" i="1"/>
  <c r="A140" i="1"/>
  <c r="A141" i="1"/>
  <c r="A142" i="1"/>
  <c r="A143" i="1"/>
  <c r="A144" i="1"/>
  <c r="B144" i="1"/>
  <c r="A145" i="1"/>
  <c r="B145" i="1"/>
  <c r="A146" i="1"/>
  <c r="B146" i="1"/>
  <c r="A147" i="1"/>
  <c r="B147" i="1"/>
  <c r="A148" i="1"/>
  <c r="B148" i="1"/>
  <c r="A149" i="1"/>
  <c r="B149" i="1"/>
  <c r="A150" i="1"/>
  <c r="B150" i="1"/>
  <c r="A151" i="1"/>
  <c r="B151" i="1"/>
  <c r="A152" i="1"/>
  <c r="B152" i="1"/>
  <c r="A153" i="1"/>
  <c r="B153" i="1"/>
  <c r="A154" i="1"/>
  <c r="B154" i="1"/>
  <c r="A155" i="1"/>
  <c r="B155" i="1"/>
  <c r="A156" i="1"/>
  <c r="B156" i="1"/>
  <c r="A157" i="1"/>
  <c r="A158" i="1"/>
  <c r="A159" i="1"/>
  <c r="B159" i="1"/>
  <c r="A160" i="1"/>
  <c r="A161" i="1"/>
  <c r="B161" i="1"/>
  <c r="A162" i="1"/>
  <c r="B162" i="1"/>
  <c r="A163" i="1"/>
  <c r="A164" i="1"/>
  <c r="A165" i="1"/>
  <c r="B165" i="1"/>
  <c r="A166" i="1"/>
  <c r="B166" i="1"/>
  <c r="A167" i="1"/>
  <c r="B167" i="1"/>
  <c r="A168" i="1"/>
  <c r="B168" i="1"/>
  <c r="A169" i="1"/>
  <c r="A170" i="1"/>
  <c r="B170" i="1"/>
  <c r="A171" i="1"/>
  <c r="B171" i="1"/>
  <c r="A172" i="1"/>
  <c r="B172" i="1"/>
  <c r="A173" i="1"/>
  <c r="B173" i="1"/>
  <c r="A174" i="1"/>
  <c r="B174" i="1"/>
  <c r="A175" i="1"/>
  <c r="B175" i="1"/>
  <c r="A176" i="1"/>
  <c r="B176" i="1"/>
  <c r="A177" i="1"/>
  <c r="B177" i="1"/>
  <c r="A178" i="1"/>
  <c r="B178" i="1"/>
  <c r="A179" i="1"/>
  <c r="B179" i="1"/>
  <c r="A180" i="1"/>
  <c r="B180" i="1"/>
  <c r="A181" i="1"/>
  <c r="B181" i="1"/>
  <c r="A182" i="1"/>
  <c r="A183" i="1"/>
  <c r="A184" i="1"/>
  <c r="A185" i="1"/>
  <c r="A186" i="1"/>
  <c r="B186" i="1"/>
  <c r="A187" i="1"/>
  <c r="B187" i="1"/>
  <c r="A188" i="1"/>
  <c r="B188" i="1"/>
  <c r="A189" i="1"/>
  <c r="B189" i="1"/>
  <c r="A190" i="1"/>
  <c r="A191" i="1"/>
  <c r="B191" i="1"/>
  <c r="A192" i="1"/>
  <c r="B192" i="1"/>
  <c r="A193" i="1"/>
  <c r="B193" i="1"/>
  <c r="A194" i="1"/>
  <c r="B194" i="1"/>
  <c r="A195" i="1"/>
  <c r="B195" i="1"/>
  <c r="A196" i="1"/>
  <c r="B196" i="1"/>
  <c r="A197" i="1"/>
  <c r="B197" i="1"/>
  <c r="A198" i="1"/>
  <c r="B198" i="1"/>
  <c r="A199" i="1"/>
  <c r="B199" i="1"/>
  <c r="A200" i="1"/>
  <c r="B200" i="1"/>
  <c r="A201" i="1"/>
  <c r="B201" i="1"/>
  <c r="A202" i="1"/>
  <c r="A203" i="1"/>
  <c r="B203" i="1"/>
  <c r="A204" i="1"/>
  <c r="B204" i="1"/>
  <c r="A205" i="1"/>
  <c r="B205" i="1"/>
  <c r="A206" i="1"/>
  <c r="A207" i="1"/>
  <c r="B207" i="1"/>
  <c r="A208" i="1"/>
  <c r="A209" i="1"/>
  <c r="B209" i="1"/>
  <c r="A210" i="1"/>
  <c r="B210" i="1"/>
  <c r="A211" i="1"/>
  <c r="A212" i="1"/>
  <c r="B212" i="1"/>
  <c r="A213" i="1"/>
  <c r="A214" i="1"/>
  <c r="B214" i="1"/>
  <c r="A215" i="1"/>
  <c r="B215" i="1"/>
  <c r="A216" i="1"/>
  <c r="B216" i="1"/>
  <c r="A217" i="1"/>
  <c r="A218" i="1"/>
  <c r="A219" i="1"/>
  <c r="A220" i="1"/>
  <c r="A221" i="1"/>
  <c r="A222" i="1"/>
  <c r="A223" i="1"/>
  <c r="A224" i="1"/>
  <c r="A225" i="1"/>
  <c r="B225" i="1"/>
  <c r="A226" i="1"/>
  <c r="B226" i="1"/>
  <c r="A227" i="1"/>
  <c r="B227" i="1"/>
  <c r="A228" i="1"/>
  <c r="B228" i="1"/>
  <c r="A229" i="1"/>
  <c r="B229" i="1"/>
  <c r="A230" i="1"/>
  <c r="B230" i="1"/>
  <c r="A231" i="1"/>
  <c r="B231" i="1"/>
  <c r="A232" i="1"/>
  <c r="B232" i="1"/>
  <c r="A233" i="1"/>
  <c r="B233" i="1"/>
  <c r="A234" i="1"/>
  <c r="B234" i="1"/>
  <c r="A235" i="1"/>
  <c r="B235" i="1"/>
  <c r="A236" i="1"/>
  <c r="B236" i="1"/>
  <c r="A237" i="1"/>
  <c r="B237" i="1"/>
  <c r="A238" i="1"/>
  <c r="B238" i="1"/>
  <c r="A239" i="1"/>
  <c r="B239" i="1"/>
  <c r="A240" i="1"/>
  <c r="B240" i="1"/>
  <c r="A241" i="1"/>
  <c r="B241" i="1"/>
  <c r="A242" i="1"/>
  <c r="B242" i="1"/>
  <c r="A243" i="1"/>
  <c r="B243" i="1"/>
  <c r="A244" i="1"/>
  <c r="B244" i="1"/>
  <c r="A245" i="1"/>
  <c r="B245" i="1"/>
  <c r="A246" i="1"/>
  <c r="B246" i="1"/>
  <c r="A247" i="1"/>
  <c r="B247" i="1"/>
  <c r="A248" i="1"/>
  <c r="B248" i="1"/>
  <c r="A249" i="1"/>
  <c r="B249" i="1"/>
  <c r="A250" i="1"/>
  <c r="B250" i="1"/>
  <c r="A251" i="1"/>
  <c r="B251" i="1"/>
  <c r="A252" i="1"/>
  <c r="B252" i="1"/>
  <c r="A253" i="1"/>
  <c r="B253" i="1"/>
  <c r="A254" i="1"/>
  <c r="B254" i="1"/>
  <c r="A255" i="1"/>
  <c r="B255" i="1"/>
  <c r="A256" i="1"/>
  <c r="A257" i="1"/>
  <c r="B257" i="1"/>
  <c r="A258" i="1"/>
  <c r="B258" i="1"/>
  <c r="A259" i="1"/>
  <c r="B259" i="1"/>
  <c r="A260" i="1"/>
  <c r="A261" i="1"/>
  <c r="B261" i="1"/>
  <c r="A262" i="1"/>
  <c r="A263" i="1"/>
  <c r="A264" i="1"/>
  <c r="B264" i="1"/>
  <c r="A265" i="1"/>
  <c r="B265" i="1"/>
  <c r="A266" i="1"/>
  <c r="B266" i="1"/>
  <c r="A267" i="1"/>
  <c r="A268" i="1"/>
  <c r="A269" i="1"/>
  <c r="B269" i="1"/>
  <c r="A270" i="1"/>
  <c r="B270" i="1"/>
  <c r="A271" i="1"/>
  <c r="A272" i="1"/>
  <c r="A273" i="1"/>
  <c r="B273" i="1"/>
  <c r="A274" i="1"/>
  <c r="B274" i="1"/>
  <c r="A275" i="1"/>
  <c r="B275" i="1"/>
  <c r="A276" i="1"/>
  <c r="A277" i="1"/>
  <c r="B277" i="1"/>
  <c r="A278" i="1"/>
  <c r="B278" i="1"/>
  <c r="A279" i="1"/>
  <c r="B279" i="1"/>
  <c r="A280" i="1"/>
  <c r="B280" i="1"/>
  <c r="A281" i="1"/>
  <c r="B281" i="1"/>
  <c r="A282" i="1"/>
  <c r="A283" i="1"/>
  <c r="B283" i="1"/>
  <c r="A284" i="1"/>
  <c r="B284" i="1"/>
  <c r="A285" i="1"/>
  <c r="B285" i="1"/>
  <c r="A286" i="1"/>
  <c r="B286" i="1"/>
  <c r="A287" i="1"/>
  <c r="B287" i="1"/>
  <c r="A288" i="1"/>
  <c r="A289" i="1"/>
  <c r="B289" i="1"/>
  <c r="A290" i="1"/>
  <c r="B290" i="1"/>
  <c r="A291" i="1"/>
  <c r="B291" i="1"/>
  <c r="A292" i="1"/>
  <c r="A293" i="1"/>
  <c r="A294" i="1"/>
  <c r="B294" i="1"/>
  <c r="A295" i="1"/>
  <c r="A296" i="1"/>
  <c r="A297" i="1"/>
  <c r="B297" i="1"/>
  <c r="A298" i="1"/>
  <c r="B298" i="1"/>
  <c r="A299" i="1"/>
  <c r="B299" i="1"/>
  <c r="A300" i="1"/>
  <c r="B300" i="1"/>
  <c r="A301" i="1"/>
  <c r="B301" i="1"/>
  <c r="A302" i="1"/>
  <c r="A303" i="1"/>
  <c r="B303" i="1"/>
  <c r="A304" i="1"/>
  <c r="B304" i="1"/>
  <c r="A305" i="1"/>
  <c r="B305" i="1"/>
  <c r="A306" i="1"/>
  <c r="B306" i="1"/>
  <c r="A307" i="1"/>
  <c r="B307" i="1"/>
  <c r="A308" i="1"/>
  <c r="B308" i="1"/>
  <c r="A309" i="1"/>
  <c r="B309" i="1"/>
  <c r="A310" i="1"/>
  <c r="B310" i="1"/>
  <c r="A311" i="1"/>
  <c r="A312" i="1"/>
  <c r="A313" i="1"/>
  <c r="B313" i="1"/>
  <c r="A314" i="1"/>
  <c r="B314" i="1"/>
  <c r="A315" i="1"/>
  <c r="A316" i="1"/>
  <c r="B316" i="1"/>
  <c r="A317" i="1"/>
  <c r="A318" i="1"/>
  <c r="B318" i="1"/>
  <c r="A319" i="1"/>
  <c r="B319" i="1"/>
  <c r="A320" i="1"/>
  <c r="B320" i="1"/>
  <c r="A321" i="1"/>
  <c r="B321" i="1"/>
  <c r="A322" i="1"/>
  <c r="B322" i="1"/>
  <c r="A323" i="1"/>
  <c r="B323" i="1"/>
  <c r="A324" i="1"/>
  <c r="B324" i="1"/>
  <c r="A325" i="1"/>
  <c r="B325" i="1"/>
  <c r="A326" i="1"/>
  <c r="B326" i="1"/>
  <c r="A327" i="1"/>
  <c r="B327" i="1"/>
  <c r="A328" i="1"/>
  <c r="A329" i="1"/>
  <c r="B329" i="1"/>
  <c r="A330" i="1"/>
  <c r="B330" i="1"/>
  <c r="A331" i="1"/>
  <c r="A332" i="1"/>
  <c r="B332" i="1"/>
  <c r="A333" i="1"/>
  <c r="B333" i="1"/>
  <c r="A334" i="1"/>
  <c r="B334" i="1"/>
  <c r="A335" i="1"/>
  <c r="B335" i="1"/>
  <c r="A336" i="1"/>
  <c r="B336" i="1"/>
  <c r="A337" i="1"/>
  <c r="B337" i="1"/>
  <c r="A338" i="1"/>
  <c r="B338" i="1"/>
  <c r="A339" i="1"/>
  <c r="A340" i="1"/>
  <c r="B340" i="1"/>
  <c r="A341" i="1"/>
  <c r="B341" i="1"/>
  <c r="A342" i="1"/>
  <c r="A343" i="1"/>
  <c r="B343" i="1"/>
  <c r="A344" i="1"/>
  <c r="B344" i="1"/>
  <c r="A345" i="1"/>
  <c r="B345" i="1"/>
  <c r="A346" i="1"/>
  <c r="B346" i="1"/>
  <c r="A347" i="1"/>
  <c r="B347" i="1"/>
  <c r="A348" i="1"/>
  <c r="B348" i="1"/>
  <c r="A349" i="1"/>
  <c r="B349" i="1"/>
  <c r="A350" i="1"/>
  <c r="B350" i="1"/>
  <c r="A351" i="1"/>
  <c r="B351" i="1"/>
  <c r="A352" i="1"/>
  <c r="B352" i="1"/>
  <c r="A353" i="1"/>
  <c r="B353" i="1"/>
  <c r="A354" i="1"/>
  <c r="B354" i="1"/>
  <c r="A355" i="1"/>
  <c r="B355" i="1"/>
  <c r="A356" i="1"/>
  <c r="B356" i="1"/>
  <c r="A357" i="1"/>
  <c r="B357" i="1"/>
  <c r="A358" i="1"/>
  <c r="B358" i="1"/>
  <c r="A359" i="1"/>
  <c r="B359" i="1"/>
  <c r="A360" i="1"/>
  <c r="B360" i="1"/>
  <c r="A361" i="1"/>
  <c r="A362" i="1"/>
  <c r="B362" i="1"/>
  <c r="A363" i="1"/>
  <c r="A364" i="1"/>
  <c r="A365" i="1"/>
  <c r="A366" i="1"/>
  <c r="B366" i="1"/>
  <c r="A367" i="1"/>
  <c r="B367" i="1"/>
  <c r="A368" i="1"/>
  <c r="B368" i="1"/>
  <c r="A369" i="1"/>
  <c r="B369" i="1"/>
  <c r="A370" i="1"/>
  <c r="B370" i="1"/>
  <c r="A371" i="1"/>
  <c r="B371" i="1"/>
  <c r="A372" i="1"/>
  <c r="A373" i="1"/>
  <c r="B373" i="1"/>
  <c r="A374" i="1"/>
  <c r="B374" i="1"/>
  <c r="A375" i="1"/>
  <c r="A376" i="1"/>
  <c r="B376" i="1"/>
  <c r="A377" i="1"/>
  <c r="A378" i="1"/>
  <c r="A379" i="1"/>
  <c r="A380" i="1"/>
  <c r="B380" i="1"/>
  <c r="A381" i="1"/>
  <c r="B381" i="1"/>
  <c r="A382" i="1"/>
  <c r="A383" i="1"/>
  <c r="A384" i="1"/>
  <c r="A385" i="1"/>
  <c r="B385" i="1"/>
  <c r="A386" i="1"/>
  <c r="B386" i="1"/>
  <c r="A387" i="1"/>
  <c r="B387" i="1"/>
  <c r="A388" i="1"/>
  <c r="A389" i="1"/>
  <c r="A390" i="1"/>
  <c r="B390" i="1"/>
  <c r="A391" i="1"/>
  <c r="B391" i="1"/>
  <c r="A392" i="1"/>
  <c r="B392" i="1"/>
  <c r="A393" i="1"/>
  <c r="B393" i="1"/>
  <c r="A394" i="1"/>
  <c r="B394" i="1"/>
  <c r="A395" i="1"/>
  <c r="B395" i="1"/>
  <c r="A396" i="1"/>
  <c r="B396" i="1"/>
  <c r="A397" i="1"/>
  <c r="B397" i="1"/>
  <c r="A398" i="1"/>
  <c r="A399" i="1"/>
  <c r="B399" i="1"/>
  <c r="A400" i="1"/>
  <c r="B400" i="1"/>
  <c r="A401" i="1"/>
  <c r="B401" i="1"/>
  <c r="A402" i="1"/>
  <c r="B402" i="1"/>
  <c r="A403" i="1"/>
  <c r="B403" i="1"/>
  <c r="A404" i="1"/>
  <c r="B404" i="1"/>
  <c r="A405" i="1"/>
  <c r="B405" i="1"/>
  <c r="A406" i="1"/>
  <c r="B406" i="1"/>
  <c r="A407" i="1"/>
  <c r="B407" i="1"/>
  <c r="A408" i="1"/>
  <c r="B408" i="1"/>
  <c r="A409" i="1"/>
  <c r="B409" i="1"/>
  <c r="A410" i="1"/>
  <c r="A411" i="1"/>
  <c r="B411" i="1"/>
  <c r="A412" i="1"/>
  <c r="B412" i="1"/>
  <c r="A413" i="1"/>
  <c r="B413" i="1"/>
  <c r="A414" i="1"/>
  <c r="B414" i="1"/>
  <c r="A415" i="1"/>
  <c r="B415" i="1"/>
  <c r="A416" i="1"/>
  <c r="B416" i="1"/>
  <c r="A417" i="1"/>
  <c r="B417" i="1"/>
  <c r="A418" i="1"/>
  <c r="B418" i="1"/>
  <c r="A419" i="1"/>
  <c r="B419" i="1"/>
  <c r="A420" i="1"/>
  <c r="B420" i="1"/>
  <c r="A421" i="1"/>
  <c r="B421" i="1"/>
  <c r="A422" i="1"/>
  <c r="B422" i="1"/>
  <c r="A423" i="1"/>
  <c r="B423" i="1"/>
  <c r="A424" i="1"/>
  <c r="B424" i="1"/>
  <c r="A425" i="1"/>
  <c r="A426" i="1"/>
  <c r="B426" i="1"/>
  <c r="A427" i="1"/>
  <c r="B427" i="1"/>
  <c r="A428" i="1"/>
  <c r="B428" i="1"/>
  <c r="A429" i="1"/>
  <c r="B429" i="1"/>
  <c r="A430" i="1"/>
  <c r="A431" i="1"/>
  <c r="B431" i="1"/>
  <c r="A432" i="1"/>
  <c r="B432" i="1"/>
  <c r="A433" i="1"/>
  <c r="B433" i="1"/>
  <c r="A434" i="1"/>
  <c r="B434" i="1"/>
  <c r="A435" i="1"/>
  <c r="A436" i="1"/>
  <c r="B436" i="1"/>
  <c r="A437" i="1"/>
  <c r="B437" i="1"/>
  <c r="A438" i="1"/>
  <c r="B438" i="1"/>
  <c r="A439" i="1"/>
  <c r="B439" i="1"/>
  <c r="A440" i="1"/>
  <c r="B440" i="1"/>
  <c r="A441" i="1"/>
  <c r="B441" i="1"/>
  <c r="A442" i="1"/>
  <c r="B442" i="1"/>
  <c r="A443" i="1"/>
  <c r="B443" i="1"/>
  <c r="A444" i="1"/>
  <c r="B444" i="1"/>
  <c r="A445" i="1"/>
  <c r="B445" i="1"/>
  <c r="A446" i="1"/>
  <c r="B446" i="1"/>
  <c r="A447" i="1"/>
  <c r="B447" i="1"/>
  <c r="A448" i="1"/>
  <c r="B448" i="1"/>
  <c r="A449" i="1"/>
  <c r="B449" i="1"/>
  <c r="A450" i="1"/>
  <c r="B450" i="1"/>
  <c r="A451" i="1"/>
  <c r="A452" i="1"/>
  <c r="B452" i="1"/>
  <c r="A453" i="1"/>
  <c r="B453" i="1"/>
  <c r="A454" i="1"/>
  <c r="B454" i="1"/>
  <c r="A455" i="1"/>
  <c r="B455" i="1"/>
  <c r="A456" i="1"/>
  <c r="B456" i="1"/>
  <c r="A457" i="1"/>
  <c r="A458" i="1"/>
  <c r="B458" i="1"/>
  <c r="A459" i="1"/>
  <c r="B459" i="1"/>
  <c r="A460" i="1"/>
  <c r="B460" i="1"/>
  <c r="A461" i="1"/>
  <c r="A462" i="1"/>
  <c r="B462" i="1"/>
  <c r="A463" i="1"/>
  <c r="B463" i="1"/>
  <c r="A464" i="1"/>
  <c r="B464" i="1"/>
  <c r="A465" i="1"/>
  <c r="B465" i="1"/>
  <c r="A466" i="1"/>
  <c r="B466" i="1"/>
  <c r="A467" i="1"/>
  <c r="B467" i="1"/>
  <c r="A468" i="1"/>
  <c r="B468" i="1"/>
  <c r="A469" i="1"/>
  <c r="B469" i="1"/>
  <c r="A470" i="1"/>
  <c r="B470" i="1"/>
  <c r="A471" i="1"/>
  <c r="B471" i="1"/>
  <c r="A472" i="1"/>
  <c r="B472" i="1"/>
  <c r="A473" i="1"/>
  <c r="B473" i="1"/>
  <c r="A474" i="1"/>
  <c r="B474" i="1"/>
  <c r="A475" i="1"/>
  <c r="B475" i="1"/>
  <c r="A476" i="1"/>
  <c r="B476" i="1"/>
  <c r="A477" i="1"/>
  <c r="B477" i="1"/>
  <c r="A478" i="1"/>
  <c r="B478" i="1"/>
  <c r="A479" i="1"/>
  <c r="B479" i="1"/>
  <c r="A480" i="1"/>
  <c r="B480" i="1"/>
  <c r="A481" i="1"/>
  <c r="B481" i="1"/>
  <c r="A482" i="1"/>
  <c r="B482" i="1"/>
  <c r="A483" i="1"/>
  <c r="B483" i="1"/>
  <c r="A484" i="1"/>
  <c r="B484" i="1"/>
  <c r="A485" i="1"/>
  <c r="B485" i="1"/>
  <c r="A486" i="1"/>
  <c r="B486" i="1"/>
  <c r="A487" i="1"/>
  <c r="B487" i="1"/>
  <c r="A488" i="1"/>
  <c r="B488" i="1"/>
  <c r="A489" i="1"/>
  <c r="B489" i="1"/>
  <c r="A490" i="1"/>
  <c r="B490" i="1"/>
  <c r="A491" i="1"/>
  <c r="B491" i="1"/>
  <c r="A492" i="1"/>
  <c r="B492" i="1"/>
  <c r="A493" i="1"/>
  <c r="B493" i="1"/>
  <c r="A494" i="1"/>
  <c r="B494" i="1"/>
  <c r="A495" i="1"/>
  <c r="B495" i="1"/>
  <c r="A496" i="1"/>
  <c r="B496" i="1"/>
  <c r="A497" i="1"/>
  <c r="B497" i="1"/>
  <c r="A498" i="1"/>
  <c r="B498" i="1"/>
  <c r="A499" i="1"/>
  <c r="B499" i="1"/>
  <c r="A500" i="1"/>
  <c r="B500" i="1"/>
  <c r="A501" i="1"/>
  <c r="B501" i="1"/>
  <c r="A502" i="1"/>
  <c r="B502" i="1"/>
  <c r="A503" i="1"/>
  <c r="B503" i="1"/>
  <c r="A504" i="1"/>
  <c r="B504" i="1"/>
  <c r="A505" i="1"/>
  <c r="B505" i="1"/>
  <c r="A506" i="1"/>
  <c r="B506" i="1"/>
  <c r="A507" i="1"/>
  <c r="B507" i="1"/>
  <c r="A508" i="1"/>
  <c r="B508" i="1"/>
  <c r="A509" i="1"/>
  <c r="B509" i="1"/>
  <c r="A510" i="1"/>
  <c r="B510" i="1"/>
  <c r="A511" i="1"/>
  <c r="B511" i="1"/>
  <c r="A512" i="1"/>
  <c r="B512" i="1"/>
  <c r="A513" i="1"/>
  <c r="B513" i="1"/>
  <c r="A514" i="1"/>
  <c r="A515" i="1"/>
  <c r="A516" i="1"/>
  <c r="B516" i="1"/>
  <c r="A517" i="1"/>
  <c r="B517" i="1"/>
  <c r="A518" i="1"/>
  <c r="B518" i="1"/>
  <c r="A519" i="1"/>
  <c r="A520" i="1"/>
  <c r="A521" i="1"/>
  <c r="A522" i="1"/>
  <c r="A523" i="1"/>
  <c r="A524" i="1"/>
  <c r="B524" i="1"/>
  <c r="A525" i="1"/>
  <c r="A526" i="1"/>
  <c r="B526" i="1"/>
  <c r="A527" i="1"/>
  <c r="B527" i="1"/>
  <c r="A528" i="1"/>
  <c r="B528" i="1"/>
  <c r="A529" i="1"/>
  <c r="B529" i="1"/>
  <c r="A530" i="1"/>
  <c r="A531" i="1"/>
  <c r="B531" i="1"/>
  <c r="A532" i="1"/>
  <c r="A533" i="1"/>
  <c r="A534" i="1"/>
  <c r="B534" i="1"/>
  <c r="A535" i="1"/>
  <c r="A536" i="1"/>
  <c r="A537" i="1"/>
  <c r="A538" i="1"/>
  <c r="A539" i="1"/>
  <c r="B539" i="1"/>
  <c r="A540" i="1"/>
  <c r="B540" i="1"/>
  <c r="A541" i="1"/>
  <c r="B541" i="1"/>
  <c r="A542" i="1"/>
  <c r="B542" i="1"/>
  <c r="A543" i="1"/>
  <c r="B543" i="1"/>
  <c r="A544" i="1"/>
  <c r="B544" i="1"/>
  <c r="A545" i="1"/>
  <c r="A546" i="1"/>
  <c r="B546" i="1"/>
  <c r="A547" i="1"/>
  <c r="B547" i="1"/>
  <c r="A548" i="1"/>
  <c r="B548" i="1"/>
  <c r="A549" i="1"/>
  <c r="B549" i="1"/>
  <c r="A550" i="1"/>
  <c r="A551" i="1"/>
  <c r="B551" i="1"/>
  <c r="A552" i="1"/>
  <c r="A553" i="1"/>
  <c r="A554" i="1"/>
  <c r="B554" i="1"/>
  <c r="A555" i="1"/>
  <c r="B555" i="1"/>
  <c r="A556" i="1"/>
  <c r="B556" i="1"/>
  <c r="A557" i="1"/>
  <c r="B557" i="1"/>
  <c r="A558" i="1"/>
  <c r="A559" i="1"/>
  <c r="B559" i="1"/>
  <c r="A560" i="1"/>
  <c r="B560" i="1"/>
  <c r="A561" i="1"/>
  <c r="B561" i="1"/>
  <c r="A562" i="1"/>
  <c r="B562" i="1"/>
  <c r="A563" i="1"/>
  <c r="B563" i="1"/>
  <c r="A564" i="1"/>
  <c r="B564" i="1"/>
  <c r="A565" i="1"/>
  <c r="B565" i="1"/>
  <c r="A566" i="1"/>
  <c r="B566" i="1"/>
  <c r="A567" i="1"/>
  <c r="B567" i="1"/>
  <c r="A568" i="1"/>
  <c r="B568" i="1"/>
  <c r="A569" i="1"/>
  <c r="B569" i="1"/>
  <c r="A570" i="1"/>
  <c r="A571" i="1"/>
  <c r="B571" i="1"/>
  <c r="A572" i="1"/>
  <c r="B572" i="1"/>
  <c r="A573" i="1"/>
  <c r="B573" i="1"/>
  <c r="A574" i="1"/>
  <c r="B574" i="1"/>
  <c r="A575" i="1"/>
  <c r="A576" i="1"/>
  <c r="A577" i="1"/>
  <c r="A578" i="1"/>
  <c r="A579" i="1"/>
  <c r="B579" i="1"/>
  <c r="A580" i="1"/>
  <c r="B580" i="1"/>
  <c r="A581" i="1"/>
  <c r="B581" i="1"/>
  <c r="A582" i="1"/>
  <c r="B582" i="1"/>
  <c r="A583" i="1"/>
  <c r="A584" i="1"/>
  <c r="B584" i="1"/>
  <c r="A585" i="1"/>
  <c r="A586" i="1"/>
  <c r="B586" i="1"/>
  <c r="A587" i="1"/>
  <c r="B587" i="1"/>
  <c r="A588" i="1"/>
  <c r="B588" i="1"/>
  <c r="A589" i="1"/>
  <c r="B589" i="1"/>
  <c r="A590" i="1"/>
  <c r="B590" i="1"/>
  <c r="A591" i="1"/>
  <c r="B591" i="1"/>
  <c r="A592" i="1"/>
  <c r="B592" i="1"/>
  <c r="A593" i="1"/>
  <c r="A594" i="1"/>
  <c r="B594" i="1"/>
  <c r="A595" i="1"/>
  <c r="B595" i="1"/>
  <c r="A596" i="1"/>
  <c r="B596" i="1"/>
  <c r="A597" i="1"/>
  <c r="B597" i="1"/>
  <c r="A598" i="1"/>
  <c r="A599" i="1"/>
  <c r="B599" i="1"/>
  <c r="A600" i="1"/>
  <c r="B600" i="1"/>
  <c r="A601" i="1"/>
  <c r="A602" i="1"/>
  <c r="B602" i="1"/>
  <c r="A603" i="1"/>
  <c r="B603" i="1"/>
  <c r="A604" i="1"/>
  <c r="B604" i="1"/>
  <c r="A605" i="1"/>
  <c r="B605" i="1"/>
  <c r="A606" i="1"/>
  <c r="B606" i="1"/>
  <c r="A607" i="1"/>
  <c r="B607" i="1"/>
  <c r="A608" i="1"/>
  <c r="B608" i="1"/>
  <c r="A609" i="1"/>
  <c r="B609" i="1"/>
  <c r="A610" i="1"/>
  <c r="B610" i="1"/>
  <c r="A611" i="1"/>
  <c r="B611" i="1"/>
  <c r="A612" i="1"/>
  <c r="B612" i="1"/>
  <c r="A613" i="1"/>
  <c r="B613" i="1"/>
  <c r="A614" i="1"/>
  <c r="B614" i="1"/>
  <c r="A615" i="1"/>
  <c r="A616" i="1"/>
  <c r="A617" i="1"/>
  <c r="A618" i="1"/>
  <c r="B618" i="1"/>
  <c r="A619" i="1"/>
  <c r="A620" i="1"/>
  <c r="B620" i="1"/>
  <c r="A621" i="1"/>
  <c r="A622" i="1"/>
  <c r="A623" i="1"/>
  <c r="A624" i="1"/>
  <c r="A625" i="1"/>
  <c r="B625" i="1"/>
  <c r="A626" i="1"/>
  <c r="A627" i="1"/>
  <c r="A628" i="1"/>
  <c r="A629" i="1"/>
  <c r="B629" i="1"/>
  <c r="A630" i="1"/>
  <c r="A631" i="1"/>
  <c r="B631" i="1"/>
  <c r="A632" i="1"/>
  <c r="B632" i="1"/>
  <c r="A633" i="1"/>
  <c r="B633" i="1"/>
  <c r="A634" i="1"/>
  <c r="B634" i="1"/>
  <c r="A635" i="1"/>
  <c r="B635" i="1"/>
  <c r="A636" i="1"/>
  <c r="B636" i="1"/>
  <c r="A637" i="1"/>
  <c r="A638" i="1"/>
  <c r="B638" i="1"/>
  <c r="A639" i="1"/>
  <c r="A640" i="1"/>
  <c r="B640" i="1"/>
  <c r="A641" i="1"/>
  <c r="B641" i="1"/>
  <c r="A642" i="1"/>
  <c r="B642" i="1"/>
  <c r="A643" i="1"/>
  <c r="B643" i="1"/>
  <c r="A644" i="1"/>
  <c r="A645" i="1"/>
  <c r="B645" i="1"/>
  <c r="A646" i="1"/>
  <c r="B646" i="1"/>
  <c r="A647" i="1"/>
  <c r="B647" i="1"/>
  <c r="A648" i="1"/>
  <c r="B648" i="1"/>
  <c r="A649" i="1"/>
  <c r="B649" i="1"/>
  <c r="A650" i="1"/>
  <c r="A651" i="1"/>
  <c r="B651" i="1"/>
  <c r="A652" i="1"/>
  <c r="A653" i="1"/>
  <c r="B653" i="1"/>
  <c r="A654" i="1"/>
  <c r="B654" i="1"/>
  <c r="A655" i="1"/>
  <c r="A656" i="1"/>
  <c r="B656" i="1"/>
  <c r="A657" i="1"/>
  <c r="B657" i="1"/>
  <c r="A658" i="1"/>
  <c r="B658" i="1"/>
  <c r="A659" i="1"/>
  <c r="B659" i="1"/>
  <c r="A660" i="1"/>
  <c r="A661" i="1"/>
  <c r="B661" i="1"/>
  <c r="A662" i="1"/>
  <c r="B662" i="1"/>
  <c r="A663" i="1"/>
  <c r="A664" i="1"/>
  <c r="B664" i="1"/>
  <c r="A665" i="1"/>
  <c r="B665" i="1"/>
  <c r="A666" i="1"/>
  <c r="B666" i="1"/>
  <c r="A667" i="1"/>
  <c r="A668" i="1"/>
  <c r="B668" i="1"/>
  <c r="A669" i="1"/>
  <c r="A670" i="1"/>
  <c r="B670" i="1"/>
  <c r="A671" i="1"/>
  <c r="A672" i="1"/>
  <c r="A673" i="1"/>
  <c r="B673" i="1"/>
  <c r="A674" i="1"/>
  <c r="B674" i="1"/>
  <c r="A675" i="1"/>
  <c r="B675" i="1"/>
  <c r="A676" i="1"/>
  <c r="B676" i="1"/>
  <c r="A677" i="1"/>
  <c r="A678" i="1"/>
  <c r="A679" i="1"/>
  <c r="A680" i="1"/>
  <c r="A681" i="1"/>
  <c r="A682" i="1"/>
  <c r="B682" i="1"/>
  <c r="A683" i="1"/>
  <c r="B683" i="1"/>
  <c r="A684" i="1"/>
  <c r="A685" i="1"/>
  <c r="A686" i="1"/>
  <c r="A687" i="1"/>
  <c r="A688" i="1"/>
  <c r="A689" i="1"/>
  <c r="A690" i="1"/>
  <c r="B690" i="1"/>
  <c r="A691" i="1"/>
  <c r="B691" i="1"/>
  <c r="A692" i="1"/>
  <c r="B692" i="1"/>
  <c r="A693" i="1"/>
  <c r="A694" i="1"/>
  <c r="B694" i="1"/>
  <c r="A695" i="1"/>
  <c r="B695" i="1"/>
  <c r="A696" i="1"/>
  <c r="B696" i="1"/>
  <c r="A697" i="1"/>
  <c r="B697" i="1"/>
  <c r="A698" i="1"/>
  <c r="B698" i="1"/>
  <c r="A699" i="1"/>
  <c r="B699" i="1"/>
  <c r="A700" i="1"/>
  <c r="B700" i="1"/>
  <c r="A701" i="1"/>
  <c r="A702" i="1"/>
  <c r="B702" i="1"/>
  <c r="A703" i="1"/>
  <c r="B703" i="1"/>
  <c r="A704" i="1"/>
  <c r="B704" i="1"/>
  <c r="A705" i="1"/>
  <c r="A706" i="1"/>
  <c r="B706" i="1"/>
  <c r="A707" i="1"/>
  <c r="B707" i="1"/>
  <c r="A708" i="1"/>
  <c r="B708" i="1"/>
  <c r="A709" i="1"/>
  <c r="B709" i="1"/>
  <c r="A710" i="1"/>
  <c r="B710" i="1"/>
  <c r="A711" i="1"/>
  <c r="B711" i="1"/>
  <c r="A712" i="1"/>
  <c r="A713" i="1"/>
  <c r="B713" i="1"/>
  <c r="A714" i="1"/>
  <c r="B714" i="1"/>
  <c r="A715" i="1"/>
  <c r="A716" i="1"/>
  <c r="B716" i="1"/>
  <c r="A717" i="1"/>
  <c r="A718" i="1"/>
  <c r="B718" i="1"/>
  <c r="A719" i="1"/>
  <c r="A720" i="1"/>
  <c r="B720" i="1"/>
  <c r="A721" i="1"/>
  <c r="B721" i="1"/>
  <c r="A722" i="1"/>
  <c r="B722" i="1"/>
  <c r="A723" i="1"/>
  <c r="B723" i="1"/>
  <c r="A724" i="1"/>
  <c r="B724" i="1"/>
  <c r="A725" i="1"/>
  <c r="B725" i="1"/>
  <c r="A726" i="1"/>
  <c r="A727" i="1"/>
  <c r="A728" i="1"/>
  <c r="A729" i="1"/>
  <c r="A730" i="1"/>
  <c r="B730" i="1"/>
  <c r="A731" i="1"/>
  <c r="B731" i="1"/>
  <c r="A732" i="1"/>
  <c r="B732" i="1"/>
  <c r="A733" i="1"/>
  <c r="B733" i="1"/>
  <c r="A734" i="1"/>
  <c r="B734" i="1"/>
  <c r="A735" i="1"/>
  <c r="A736" i="1"/>
  <c r="B736" i="1"/>
  <c r="A737" i="1"/>
  <c r="B737" i="1"/>
  <c r="A738" i="1"/>
  <c r="B738" i="1"/>
  <c r="A739" i="1"/>
  <c r="B739" i="1"/>
  <c r="A740" i="1"/>
  <c r="B740" i="1"/>
  <c r="A741" i="1"/>
  <c r="B741" i="1"/>
  <c r="A742" i="1"/>
  <c r="B742" i="1"/>
  <c r="A743" i="1"/>
  <c r="B743" i="1"/>
  <c r="A744" i="1"/>
  <c r="B744" i="1"/>
  <c r="A745" i="1"/>
  <c r="B745" i="1"/>
  <c r="A746" i="1"/>
  <c r="B746" i="1"/>
  <c r="A747" i="1"/>
  <c r="A748" i="1"/>
  <c r="B748" i="1"/>
  <c r="A749" i="1"/>
  <c r="B749" i="1"/>
  <c r="A750" i="1"/>
  <c r="A751" i="1"/>
  <c r="A752" i="1"/>
  <c r="A753" i="1"/>
  <c r="B753" i="1"/>
  <c r="A754" i="1"/>
  <c r="B754" i="1"/>
  <c r="A755" i="1"/>
  <c r="B755" i="1"/>
  <c r="A756" i="1"/>
  <c r="B756" i="1"/>
  <c r="A757" i="1"/>
  <c r="B757" i="1"/>
  <c r="A758" i="1"/>
  <c r="A759" i="1"/>
  <c r="A760" i="1"/>
  <c r="A761" i="1"/>
  <c r="B761" i="1"/>
  <c r="A762" i="1"/>
  <c r="B762" i="1"/>
  <c r="A763" i="1"/>
  <c r="B763" i="1"/>
  <c r="A764" i="1"/>
  <c r="B764" i="1"/>
  <c r="A765" i="1"/>
  <c r="B765" i="1"/>
  <c r="A766" i="1"/>
  <c r="A767" i="1"/>
  <c r="B767" i="1"/>
  <c r="A768" i="1"/>
  <c r="A769" i="1"/>
  <c r="B769" i="1"/>
  <c r="A770" i="1"/>
  <c r="B770" i="1"/>
  <c r="A771" i="1"/>
  <c r="B771" i="1"/>
  <c r="A772" i="1"/>
  <c r="B772" i="1"/>
  <c r="A773" i="1"/>
  <c r="B773" i="1"/>
  <c r="A774" i="1"/>
  <c r="A775" i="1"/>
  <c r="B775" i="1"/>
  <c r="A776" i="1"/>
  <c r="B776" i="1"/>
  <c r="A777" i="1"/>
  <c r="B777" i="1"/>
  <c r="A778" i="1"/>
  <c r="B778" i="1"/>
  <c r="A779" i="1"/>
  <c r="B779" i="1"/>
  <c r="A780" i="1"/>
  <c r="B780" i="1"/>
  <c r="A781" i="1"/>
  <c r="B781" i="1"/>
  <c r="A782" i="1"/>
  <c r="B782" i="1"/>
  <c r="A783" i="1"/>
  <c r="A784" i="1"/>
  <c r="B784" i="1"/>
  <c r="A785" i="1"/>
  <c r="A786" i="1"/>
  <c r="B786" i="1"/>
  <c r="A787" i="1"/>
  <c r="A788" i="1"/>
  <c r="B788" i="1"/>
  <c r="A789" i="1"/>
  <c r="B789" i="1"/>
  <c r="A790" i="1"/>
  <c r="B790" i="1"/>
  <c r="A791" i="1"/>
  <c r="B791" i="1"/>
  <c r="A792" i="1"/>
  <c r="B792" i="1"/>
  <c r="A793" i="1"/>
  <c r="B793" i="1"/>
  <c r="A794" i="1"/>
  <c r="B794" i="1"/>
  <c r="A795" i="1"/>
  <c r="B795" i="1"/>
  <c r="A796" i="1"/>
  <c r="B796" i="1"/>
  <c r="A797" i="1"/>
  <c r="B797" i="1"/>
  <c r="A798" i="1"/>
  <c r="B798" i="1"/>
  <c r="A799" i="1"/>
  <c r="B799" i="1"/>
  <c r="A800" i="1"/>
  <c r="B800" i="1"/>
  <c r="A801" i="1"/>
  <c r="B801" i="1"/>
  <c r="A802" i="1"/>
  <c r="B802" i="1"/>
  <c r="A803" i="1"/>
  <c r="B803" i="1"/>
  <c r="A804" i="1"/>
  <c r="B804" i="1"/>
  <c r="A805" i="1"/>
  <c r="B805" i="1"/>
  <c r="A806" i="1"/>
  <c r="B806" i="1"/>
  <c r="A807" i="1"/>
  <c r="B807" i="1"/>
  <c r="A808" i="1"/>
  <c r="B808" i="1"/>
  <c r="A809" i="1"/>
  <c r="B809" i="1"/>
  <c r="A810" i="1"/>
  <c r="B810" i="1"/>
  <c r="A811" i="1"/>
  <c r="B811" i="1"/>
  <c r="A812" i="1"/>
  <c r="A813" i="1"/>
  <c r="B813" i="1"/>
  <c r="A814" i="1"/>
  <c r="A815" i="1"/>
  <c r="B815" i="1"/>
  <c r="A816" i="1"/>
  <c r="A817" i="1"/>
  <c r="B817" i="1"/>
  <c r="A818" i="1"/>
  <c r="B818" i="1"/>
  <c r="A819" i="1"/>
  <c r="B819" i="1"/>
  <c r="A820" i="1"/>
  <c r="B820" i="1"/>
  <c r="A821" i="1"/>
  <c r="B821" i="1"/>
  <c r="A822" i="1"/>
  <c r="B822" i="1"/>
  <c r="A823" i="1"/>
  <c r="B823" i="1"/>
  <c r="A824" i="1"/>
  <c r="A825" i="1"/>
  <c r="B825" i="1"/>
  <c r="A826" i="1"/>
  <c r="B826" i="1"/>
  <c r="A827" i="1"/>
  <c r="B827" i="1"/>
  <c r="A828" i="1"/>
  <c r="B828" i="1"/>
  <c r="A829" i="1"/>
  <c r="A830" i="1"/>
  <c r="A831" i="1"/>
  <c r="B831" i="1"/>
  <c r="A832" i="1"/>
  <c r="B832" i="1"/>
  <c r="A833" i="1"/>
  <c r="B833" i="1"/>
  <c r="A834" i="1"/>
  <c r="B834" i="1"/>
  <c r="A835" i="1"/>
  <c r="B835" i="1"/>
  <c r="A836" i="1"/>
  <c r="B836" i="1"/>
  <c r="A837" i="1"/>
  <c r="B837" i="1"/>
  <c r="A838" i="1"/>
  <c r="B838" i="1"/>
  <c r="A839" i="1"/>
  <c r="B839" i="1"/>
  <c r="A840" i="1"/>
  <c r="B840" i="1"/>
  <c r="A841" i="1"/>
  <c r="B841" i="1"/>
  <c r="A842" i="1"/>
  <c r="B842" i="1"/>
  <c r="A843" i="1"/>
  <c r="B843" i="1"/>
  <c r="A844" i="1"/>
  <c r="B844" i="1"/>
  <c r="A845" i="1"/>
  <c r="B845" i="1"/>
  <c r="A846" i="1"/>
  <c r="A847" i="1"/>
  <c r="B847" i="1"/>
  <c r="A848" i="1"/>
  <c r="B848" i="1"/>
  <c r="A849" i="1"/>
  <c r="B849" i="1"/>
  <c r="A850" i="1"/>
  <c r="A851" i="1"/>
  <c r="B851" i="1"/>
  <c r="A852" i="1"/>
  <c r="B852" i="1"/>
  <c r="A853" i="1"/>
  <c r="B853" i="1"/>
  <c r="A854" i="1"/>
  <c r="B854" i="1"/>
  <c r="A855" i="1"/>
  <c r="B855" i="1"/>
  <c r="A856" i="1"/>
  <c r="B856" i="1"/>
  <c r="A857" i="1"/>
  <c r="B857" i="1"/>
  <c r="A858" i="1"/>
  <c r="A859" i="1"/>
  <c r="A860" i="1"/>
  <c r="B860" i="1"/>
  <c r="A861" i="1"/>
  <c r="B861" i="1"/>
  <c r="A862" i="1"/>
  <c r="B862" i="1"/>
  <c r="A863" i="1"/>
  <c r="A864" i="1"/>
  <c r="B864" i="1"/>
  <c r="A865" i="1"/>
  <c r="B865" i="1"/>
  <c r="A866" i="1"/>
  <c r="A867" i="1"/>
  <c r="B867" i="1"/>
  <c r="A868" i="1"/>
  <c r="B868" i="1"/>
  <c r="A869" i="1"/>
  <c r="B869" i="1"/>
  <c r="A870" i="1"/>
  <c r="A871" i="1"/>
  <c r="A872" i="1"/>
  <c r="B872" i="1"/>
  <c r="A873" i="1"/>
  <c r="B873" i="1"/>
  <c r="A874" i="1"/>
  <c r="A875" i="1"/>
  <c r="B875" i="1"/>
  <c r="A876" i="1"/>
  <c r="B876" i="1"/>
  <c r="A877" i="1"/>
  <c r="B877" i="1"/>
  <c r="A878" i="1"/>
  <c r="B878" i="1"/>
  <c r="A879" i="1"/>
  <c r="B879" i="1"/>
  <c r="A880" i="1"/>
  <c r="B880" i="1"/>
  <c r="A881" i="1"/>
  <c r="A882" i="1"/>
  <c r="B882" i="1"/>
  <c r="A883" i="1"/>
  <c r="B883" i="1"/>
  <c r="A884" i="1"/>
  <c r="B884" i="1"/>
  <c r="A885" i="1"/>
  <c r="B885" i="1"/>
  <c r="A886" i="1"/>
  <c r="B886" i="1"/>
  <c r="A887" i="1"/>
  <c r="A888" i="1"/>
  <c r="B888" i="1"/>
  <c r="A889" i="1"/>
  <c r="B889" i="1"/>
  <c r="A890" i="1"/>
  <c r="B890" i="1"/>
  <c r="A891" i="1"/>
  <c r="B891" i="1"/>
  <c r="A892" i="1"/>
  <c r="B892" i="1"/>
  <c r="A893" i="1"/>
  <c r="B893" i="1"/>
  <c r="A894" i="1"/>
  <c r="B894" i="1"/>
  <c r="A895" i="1"/>
  <c r="B895" i="1"/>
  <c r="A896" i="1"/>
  <c r="B896" i="1"/>
  <c r="A897" i="1"/>
  <c r="B897" i="1"/>
  <c r="A898" i="1"/>
  <c r="B898" i="1"/>
  <c r="A899" i="1"/>
  <c r="A900" i="1"/>
  <c r="A901" i="1"/>
  <c r="A902" i="1"/>
  <c r="A903" i="1"/>
  <c r="A904" i="1"/>
  <c r="A905" i="1"/>
  <c r="A906" i="1"/>
  <c r="A907" i="1"/>
  <c r="B907" i="1"/>
  <c r="A908" i="1"/>
  <c r="B908" i="1"/>
  <c r="A909" i="1"/>
  <c r="A910" i="1"/>
  <c r="A911" i="1"/>
  <c r="A912" i="1"/>
  <c r="A913" i="1"/>
  <c r="B913" i="1"/>
  <c r="A914" i="1"/>
  <c r="B914" i="1"/>
  <c r="A915" i="1"/>
  <c r="B915" i="1"/>
  <c r="A916" i="1"/>
  <c r="A917" i="1"/>
  <c r="B917" i="1"/>
  <c r="A918" i="1"/>
  <c r="B918" i="1"/>
  <c r="A919" i="1"/>
  <c r="B919" i="1"/>
  <c r="A920" i="1"/>
  <c r="B920" i="1"/>
  <c r="A921" i="1"/>
  <c r="B921" i="1"/>
  <c r="A922" i="1"/>
  <c r="B922" i="1"/>
  <c r="A923" i="1"/>
  <c r="B923" i="1"/>
  <c r="A924" i="1"/>
  <c r="B924" i="1"/>
  <c r="A925" i="1"/>
  <c r="B925" i="1"/>
  <c r="A926" i="1"/>
  <c r="B926" i="1"/>
  <c r="A927" i="1"/>
  <c r="B927" i="1"/>
  <c r="A928" i="1"/>
  <c r="B928" i="1"/>
  <c r="A929" i="1"/>
  <c r="A930" i="1"/>
  <c r="B930" i="1"/>
  <c r="A931" i="1"/>
  <c r="B931" i="1"/>
  <c r="A932" i="1"/>
  <c r="A933" i="1"/>
  <c r="B933" i="1"/>
  <c r="A934" i="1"/>
  <c r="B934" i="1"/>
  <c r="A935" i="1"/>
  <c r="B935" i="1"/>
  <c r="A936" i="1"/>
  <c r="B936" i="1"/>
  <c r="A937" i="1"/>
  <c r="B937" i="1"/>
  <c r="A938" i="1"/>
  <c r="A939" i="1"/>
  <c r="B939" i="1"/>
  <c r="A940" i="1"/>
  <c r="B940" i="1"/>
  <c r="A941" i="1"/>
  <c r="B941" i="1"/>
  <c r="A942" i="1"/>
  <c r="B942" i="1"/>
  <c r="A943" i="1"/>
  <c r="B943" i="1"/>
  <c r="A944" i="1"/>
  <c r="B944" i="1"/>
  <c r="A945" i="1"/>
  <c r="B945" i="1"/>
  <c r="A946" i="1"/>
  <c r="B946" i="1"/>
  <c r="A947" i="1"/>
  <c r="B947" i="1"/>
  <c r="A948" i="1"/>
  <c r="B948" i="1"/>
  <c r="A949" i="1"/>
  <c r="A950" i="1"/>
  <c r="B950" i="1"/>
  <c r="A951" i="1"/>
  <c r="B951" i="1"/>
  <c r="A952" i="1"/>
  <c r="B952" i="1"/>
  <c r="A953" i="1"/>
  <c r="B953" i="1"/>
  <c r="A954" i="1"/>
  <c r="B954" i="1"/>
  <c r="A955" i="1"/>
  <c r="A956" i="1"/>
  <c r="B956" i="1"/>
  <c r="A957" i="1"/>
  <c r="B957" i="1"/>
  <c r="A958" i="1"/>
  <c r="B958" i="1"/>
  <c r="A959" i="1"/>
  <c r="B959" i="1"/>
  <c r="A960" i="1"/>
  <c r="B960" i="1"/>
  <c r="A961" i="1"/>
  <c r="B961" i="1"/>
  <c r="A962" i="1"/>
  <c r="B962" i="1"/>
  <c r="A963" i="1"/>
  <c r="B963" i="1"/>
  <c r="A964" i="1"/>
  <c r="B964" i="1"/>
  <c r="A965" i="1"/>
  <c r="B965" i="1"/>
  <c r="A966" i="1"/>
  <c r="B966" i="1"/>
  <c r="A967" i="1"/>
  <c r="B967" i="1"/>
  <c r="A968" i="1"/>
  <c r="B968" i="1"/>
  <c r="A969" i="1"/>
  <c r="B969" i="1"/>
  <c r="A970" i="1"/>
  <c r="B970" i="1"/>
  <c r="A971" i="1"/>
  <c r="B971" i="1"/>
  <c r="A972" i="1"/>
  <c r="A973" i="1"/>
  <c r="B973" i="1"/>
  <c r="A974" i="1"/>
  <c r="B974" i="1"/>
  <c r="A975" i="1"/>
  <c r="B975" i="1"/>
  <c r="A976" i="1"/>
  <c r="B976" i="1"/>
  <c r="A977" i="1"/>
  <c r="B977" i="1"/>
  <c r="A978" i="1"/>
  <c r="B978" i="1"/>
  <c r="A979" i="1"/>
  <c r="B979" i="1"/>
  <c r="A980" i="1"/>
  <c r="B980" i="1"/>
  <c r="A981" i="1"/>
  <c r="B981" i="1"/>
  <c r="A982" i="1"/>
  <c r="B982" i="1"/>
  <c r="A983" i="1"/>
  <c r="B983" i="1"/>
  <c r="A984" i="1"/>
  <c r="B984" i="1"/>
  <c r="A985" i="1"/>
  <c r="B985" i="1"/>
  <c r="A986" i="1"/>
  <c r="B986" i="1"/>
  <c r="A987" i="1"/>
  <c r="B987" i="1"/>
  <c r="A988" i="1"/>
  <c r="B988" i="1"/>
  <c r="A989" i="1"/>
  <c r="B989" i="1"/>
  <c r="A990" i="1"/>
  <c r="B990" i="1"/>
  <c r="A991" i="1"/>
  <c r="B991" i="1"/>
  <c r="A992" i="1"/>
  <c r="A993" i="1"/>
  <c r="B993" i="1"/>
  <c r="A994" i="1"/>
  <c r="B994" i="1"/>
  <c r="A995" i="1"/>
  <c r="B995" i="1"/>
  <c r="A996" i="1"/>
  <c r="B996" i="1"/>
  <c r="A997" i="1"/>
  <c r="B997" i="1"/>
  <c r="A998" i="1"/>
  <c r="B998" i="1"/>
  <c r="A999" i="1"/>
  <c r="B999" i="1"/>
  <c r="A1000" i="1"/>
  <c r="B1000" i="1"/>
  <c r="A1001" i="1"/>
  <c r="B1001" i="1"/>
  <c r="A1002" i="1"/>
  <c r="B1002" i="1"/>
  <c r="A1003" i="1"/>
  <c r="A1004" i="1"/>
  <c r="B1004" i="1"/>
  <c r="A1005" i="1"/>
  <c r="B1005" i="1"/>
  <c r="A1006" i="1"/>
  <c r="A1007" i="1"/>
  <c r="A1008" i="1"/>
  <c r="A1009" i="1"/>
  <c r="A1010" i="1"/>
  <c r="A1011" i="1"/>
  <c r="B1011" i="1"/>
  <c r="A1012" i="1"/>
  <c r="B1012" i="1"/>
  <c r="A1013" i="1"/>
  <c r="B1013" i="1"/>
  <c r="A1014" i="1"/>
  <c r="B1014" i="1"/>
  <c r="A1015" i="1"/>
  <c r="B1015" i="1"/>
  <c r="A1016" i="1"/>
  <c r="B1016" i="1"/>
  <c r="A1017" i="1"/>
  <c r="B1017" i="1"/>
  <c r="A1018" i="1"/>
  <c r="B1018" i="1"/>
  <c r="A1019" i="1"/>
  <c r="B1019" i="1"/>
  <c r="A1020" i="1"/>
  <c r="B1020" i="1"/>
  <c r="A1021" i="1"/>
  <c r="B1021" i="1"/>
  <c r="A1022" i="1"/>
  <c r="B1022" i="1"/>
  <c r="A1023" i="1"/>
  <c r="B1023" i="1"/>
  <c r="A1024" i="1"/>
  <c r="B1024" i="1"/>
  <c r="A1025" i="1"/>
  <c r="B1025" i="1"/>
  <c r="A1026" i="1"/>
  <c r="B1026" i="1"/>
  <c r="A1027" i="1"/>
  <c r="B1027" i="1"/>
  <c r="A1028" i="1"/>
  <c r="B1028" i="1"/>
  <c r="A1029" i="1"/>
  <c r="B1029" i="1"/>
  <c r="A1030" i="1"/>
  <c r="B1030" i="1"/>
  <c r="A1031" i="1"/>
  <c r="B1031" i="1"/>
  <c r="A1032" i="1"/>
  <c r="B1032" i="1"/>
  <c r="A1033" i="1"/>
  <c r="B1033" i="1"/>
  <c r="A1034" i="1"/>
  <c r="B1034" i="1"/>
  <c r="A1035" i="1"/>
  <c r="B1035" i="1"/>
  <c r="A1036" i="1"/>
  <c r="B1036" i="1"/>
  <c r="A1037" i="1"/>
  <c r="B1037" i="1"/>
  <c r="A1038" i="1"/>
  <c r="B1038" i="1"/>
  <c r="A1039" i="1"/>
  <c r="A1040" i="1"/>
  <c r="B1040" i="1"/>
  <c r="A1041" i="1"/>
  <c r="B1041" i="1"/>
  <c r="A1042" i="1"/>
  <c r="A1043" i="1"/>
  <c r="A1044" i="1"/>
  <c r="B1044" i="1"/>
  <c r="A1045" i="1"/>
  <c r="B1045" i="1"/>
  <c r="A1046" i="1"/>
  <c r="B1046" i="1"/>
  <c r="A1047" i="1"/>
  <c r="B1047" i="1"/>
  <c r="A1048" i="1"/>
  <c r="B1048" i="1"/>
  <c r="A1049" i="1"/>
  <c r="B1049" i="1"/>
  <c r="A1050" i="1"/>
  <c r="B1050" i="1"/>
  <c r="A1051" i="1"/>
  <c r="B1051" i="1"/>
  <c r="A1052" i="1"/>
  <c r="B1052" i="1"/>
  <c r="A1053" i="1"/>
  <c r="B1053" i="1"/>
  <c r="A1054" i="1"/>
  <c r="B1054" i="1"/>
  <c r="A1055" i="1"/>
  <c r="A1056" i="1"/>
  <c r="B1056" i="1"/>
  <c r="A1057" i="1"/>
  <c r="B1057" i="1"/>
  <c r="A1058" i="1"/>
  <c r="B1058" i="1"/>
  <c r="A1059" i="1"/>
  <c r="B1059" i="1"/>
  <c r="A1060" i="1"/>
  <c r="A1061" i="1"/>
  <c r="B1061" i="1"/>
  <c r="A1062" i="1"/>
  <c r="B1062" i="1"/>
  <c r="A1063" i="1"/>
  <c r="B1063" i="1"/>
  <c r="A1064" i="1"/>
  <c r="B1064" i="1"/>
  <c r="A1065" i="1"/>
  <c r="A1066" i="1"/>
  <c r="B1066" i="1"/>
  <c r="A1067" i="1"/>
  <c r="B1067" i="1"/>
  <c r="A1068" i="1"/>
  <c r="B1068" i="1"/>
  <c r="A1069" i="1"/>
  <c r="B1069" i="1"/>
  <c r="A1070" i="1"/>
  <c r="B1070" i="1"/>
  <c r="A1071" i="1"/>
  <c r="B1071" i="1"/>
  <c r="A1072" i="1"/>
  <c r="A1073" i="1"/>
  <c r="B1073" i="1"/>
  <c r="A1074" i="1"/>
  <c r="B1074" i="1"/>
  <c r="A1075" i="1"/>
  <c r="A1076" i="1"/>
  <c r="B1076" i="1"/>
  <c r="A1077" i="1"/>
  <c r="A1078" i="1"/>
  <c r="B1078" i="1"/>
  <c r="A1079" i="1"/>
  <c r="B1079" i="1"/>
  <c r="A1080" i="1"/>
  <c r="B1080" i="1"/>
  <c r="A1081" i="1"/>
  <c r="A1082" i="1"/>
  <c r="A1083" i="1"/>
  <c r="A1084" i="1"/>
  <c r="B1084" i="1"/>
  <c r="A1085" i="1"/>
  <c r="B1085" i="1"/>
  <c r="A1086" i="1"/>
  <c r="B1086" i="1"/>
  <c r="A1087" i="1"/>
  <c r="B1087" i="1"/>
  <c r="A1088" i="1"/>
  <c r="B1088" i="1"/>
  <c r="A1089" i="1"/>
  <c r="B1089" i="1"/>
  <c r="A1090" i="1"/>
  <c r="A1091" i="1"/>
  <c r="A1092" i="1"/>
  <c r="A1093" i="1"/>
  <c r="A1094" i="1"/>
  <c r="A1095" i="1"/>
  <c r="A1096" i="1"/>
  <c r="B1096" i="1"/>
  <c r="A1097" i="1"/>
  <c r="B1097" i="1"/>
  <c r="A1098" i="1"/>
  <c r="B1098" i="1"/>
  <c r="A1099" i="1"/>
  <c r="B1099" i="1"/>
  <c r="A1100" i="1"/>
  <c r="B1100" i="1"/>
  <c r="A1101" i="1"/>
  <c r="B1101" i="1"/>
  <c r="A1102" i="1"/>
  <c r="A1103" i="1"/>
  <c r="B1103" i="1"/>
  <c r="A1104" i="1"/>
  <c r="B1104" i="1"/>
  <c r="A1105" i="1"/>
  <c r="A1106" i="1"/>
  <c r="A1107" i="1"/>
  <c r="A1108" i="1"/>
  <c r="A1109" i="1"/>
  <c r="A1110" i="1"/>
  <c r="A1111" i="1"/>
  <c r="A1112" i="1"/>
  <c r="B1112" i="1"/>
  <c r="A1113" i="1"/>
  <c r="B1113" i="1"/>
  <c r="A1114" i="1"/>
  <c r="B1114" i="1"/>
  <c r="A1115" i="1"/>
  <c r="B1115" i="1"/>
  <c r="A1116" i="1"/>
  <c r="B1116" i="1"/>
  <c r="A1117" i="1"/>
  <c r="B1117" i="1"/>
  <c r="A1118" i="1"/>
  <c r="B1118" i="1"/>
  <c r="A1119" i="1"/>
  <c r="B1119" i="1"/>
  <c r="A1120" i="1"/>
  <c r="B1120" i="1"/>
  <c r="A1121" i="1"/>
  <c r="B1121" i="1"/>
  <c r="A1122" i="1"/>
  <c r="A1123" i="1"/>
  <c r="A1124" i="1"/>
  <c r="A1125" i="1"/>
  <c r="B1125" i="1"/>
  <c r="A1126" i="1"/>
  <c r="B1126" i="1"/>
  <c r="A1127" i="1"/>
  <c r="B1127" i="1"/>
  <c r="A1128" i="1"/>
  <c r="B1128" i="1"/>
  <c r="A1129" i="1"/>
  <c r="B1129" i="1"/>
  <c r="A1130" i="1"/>
  <c r="B1130" i="1"/>
  <c r="A1131" i="1"/>
  <c r="A1132" i="1"/>
  <c r="A1133" i="1"/>
  <c r="B1133" i="1"/>
  <c r="A1134" i="1"/>
  <c r="A1135" i="1"/>
  <c r="B1135" i="1"/>
  <c r="A1136" i="1"/>
  <c r="A1137" i="1"/>
  <c r="B1137" i="1"/>
  <c r="A1138" i="1"/>
  <c r="A1139" i="1"/>
  <c r="A1140" i="1"/>
  <c r="B1140" i="1"/>
  <c r="A1141" i="1"/>
  <c r="B1141" i="1"/>
  <c r="A1142" i="1"/>
  <c r="B1142" i="1"/>
  <c r="A1143" i="1"/>
  <c r="B1143" i="1"/>
  <c r="A1144" i="1"/>
  <c r="B1144" i="1"/>
  <c r="A1145" i="1"/>
  <c r="B1145" i="1"/>
  <c r="A1146" i="1"/>
  <c r="A1147" i="1"/>
  <c r="B1147" i="1"/>
  <c r="A1148" i="1"/>
  <c r="B1148" i="1"/>
  <c r="A1149" i="1"/>
  <c r="B1149" i="1"/>
  <c r="A1150" i="1"/>
  <c r="B1150" i="1"/>
  <c r="A1151" i="1"/>
  <c r="A1152" i="1"/>
  <c r="B1152" i="1"/>
  <c r="A1153" i="1"/>
  <c r="A1154" i="1"/>
  <c r="B1154" i="1"/>
  <c r="A1155" i="1"/>
  <c r="A1156" i="1"/>
  <c r="B1156" i="1"/>
  <c r="A1157" i="1"/>
  <c r="B1157" i="1"/>
  <c r="A1158" i="1"/>
  <c r="A1159" i="1"/>
  <c r="A1160" i="1"/>
  <c r="A1161" i="1"/>
  <c r="A1162" i="1"/>
  <c r="A1163" i="1"/>
  <c r="B1163" i="1"/>
  <c r="A1164" i="1"/>
  <c r="B1164" i="1"/>
  <c r="A1165" i="1"/>
  <c r="B1165" i="1"/>
  <c r="A1166" i="1"/>
  <c r="B1166" i="1"/>
  <c r="A1167" i="1"/>
  <c r="A1168" i="1"/>
  <c r="B1168" i="1"/>
  <c r="A1169" i="1"/>
  <c r="B1169" i="1"/>
  <c r="A1170" i="1"/>
  <c r="B1170" i="1"/>
  <c r="A1171" i="1"/>
  <c r="B1171" i="1"/>
  <c r="A1172" i="1"/>
  <c r="B1172" i="1"/>
  <c r="A1173" i="1"/>
  <c r="B1173" i="1"/>
  <c r="A1174" i="1"/>
  <c r="B1174" i="1"/>
  <c r="A1175" i="1"/>
  <c r="B1175" i="1"/>
  <c r="A1176" i="1"/>
  <c r="A1177" i="1"/>
  <c r="A1178" i="1"/>
  <c r="B1178" i="1"/>
  <c r="A1179" i="1"/>
  <c r="B1179" i="1"/>
  <c r="A1180" i="1"/>
  <c r="B1180" i="1"/>
  <c r="A1181" i="1"/>
  <c r="A1182" i="1"/>
  <c r="A1183" i="1"/>
  <c r="A1184" i="1"/>
  <c r="A1185" i="1"/>
  <c r="A1186" i="1"/>
  <c r="A1187" i="1"/>
  <c r="B1187" i="1"/>
  <c r="A1188" i="1"/>
  <c r="A1189" i="1"/>
  <c r="B1189" i="1"/>
  <c r="A1190" i="1"/>
  <c r="B1190" i="1"/>
  <c r="A1191" i="1"/>
  <c r="B1191" i="1"/>
  <c r="A1192" i="1"/>
  <c r="B1192" i="1"/>
  <c r="A1193" i="1"/>
  <c r="A1194" i="1"/>
  <c r="B1194" i="1"/>
  <c r="A1195" i="1"/>
  <c r="B1195" i="1"/>
  <c r="A1196" i="1"/>
  <c r="B1196" i="1"/>
  <c r="A1197" i="1"/>
  <c r="B1197" i="1"/>
  <c r="A1198" i="1"/>
  <c r="B1198" i="1"/>
  <c r="A1199" i="1"/>
  <c r="B1199" i="1"/>
  <c r="A1200" i="1"/>
  <c r="A1201" i="1"/>
  <c r="B1201" i="1"/>
  <c r="A1202" i="1"/>
  <c r="B1202" i="1"/>
  <c r="A1203" i="1"/>
  <c r="B1203" i="1"/>
  <c r="A1204" i="1"/>
  <c r="B1204" i="1"/>
  <c r="A1205" i="1"/>
  <c r="A1206" i="1"/>
  <c r="A1207" i="1"/>
  <c r="B1207" i="1"/>
  <c r="A1208" i="1"/>
  <c r="B1208" i="1"/>
  <c r="A1209" i="1"/>
  <c r="B1209" i="1"/>
  <c r="A1210" i="1"/>
  <c r="A1211" i="1"/>
  <c r="B1211" i="1"/>
  <c r="A1212" i="1"/>
  <c r="B1212" i="1"/>
  <c r="A1213" i="1"/>
  <c r="B1213" i="1"/>
  <c r="A1214" i="1"/>
  <c r="B1214" i="1"/>
  <c r="A1215" i="1"/>
  <c r="A1216" i="1"/>
  <c r="B1216" i="1"/>
  <c r="A1217" i="1"/>
  <c r="B1217" i="1"/>
  <c r="A1218" i="1"/>
  <c r="B1218" i="1"/>
  <c r="A1219" i="1"/>
  <c r="A1220" i="1"/>
  <c r="B1220" i="1"/>
  <c r="A1221" i="1"/>
  <c r="B1221" i="1"/>
  <c r="A1222" i="1"/>
  <c r="B1222" i="1"/>
  <c r="A1223" i="1"/>
  <c r="B1223" i="1"/>
  <c r="A1224" i="1"/>
  <c r="B1224" i="1"/>
  <c r="A1225" i="1"/>
  <c r="B1225" i="1"/>
  <c r="A1226" i="1"/>
  <c r="B1226" i="1"/>
  <c r="A1227" i="1"/>
  <c r="A1228" i="1"/>
  <c r="B1228" i="1"/>
  <c r="A1229" i="1"/>
  <c r="B1229" i="1"/>
  <c r="A1230" i="1"/>
  <c r="B1230" i="1"/>
  <c r="A1231" i="1"/>
  <c r="B1231" i="1"/>
  <c r="A1232" i="1"/>
  <c r="A1233" i="1"/>
  <c r="B1233" i="1"/>
  <c r="A1234" i="1"/>
  <c r="B1234" i="1"/>
  <c r="A1235" i="1"/>
  <c r="A1236" i="1"/>
  <c r="A1237" i="1"/>
  <c r="B1237" i="1"/>
  <c r="A1238" i="1"/>
  <c r="B1238" i="1"/>
  <c r="A1239" i="1"/>
  <c r="B1239" i="1"/>
  <c r="A1240" i="1"/>
  <c r="A1241" i="1"/>
  <c r="B1241" i="1"/>
  <c r="A1242" i="1"/>
  <c r="B1242" i="1"/>
  <c r="A1243" i="1"/>
  <c r="B1243" i="1"/>
  <c r="A1244" i="1"/>
  <c r="B1244" i="1"/>
  <c r="A1245" i="1"/>
  <c r="B1245" i="1"/>
  <c r="A1246" i="1"/>
  <c r="A1247" i="1"/>
  <c r="B1247" i="1"/>
  <c r="A1248" i="1"/>
  <c r="A1249" i="1"/>
  <c r="B1249" i="1"/>
  <c r="A1250" i="1"/>
  <c r="B1250" i="1"/>
  <c r="A1251" i="1"/>
  <c r="B1251" i="1"/>
  <c r="A1252" i="1"/>
  <c r="A1253" i="1"/>
  <c r="B1253" i="1"/>
  <c r="A1254" i="1"/>
  <c r="A1255" i="1"/>
  <c r="B1255" i="1"/>
  <c r="A1256" i="1"/>
  <c r="B1256" i="1"/>
  <c r="A1257" i="1"/>
  <c r="B1257" i="1"/>
  <c r="A1258" i="1"/>
  <c r="B1258" i="1"/>
  <c r="A1259" i="1"/>
  <c r="B1259" i="1"/>
  <c r="A1260" i="1"/>
  <c r="B1260" i="1"/>
  <c r="A1261" i="1"/>
  <c r="B1261" i="1"/>
  <c r="A1262" i="1"/>
  <c r="B1262" i="1"/>
  <c r="A1263" i="1"/>
  <c r="A1264" i="1"/>
  <c r="B1264" i="1"/>
  <c r="A1265" i="1"/>
  <c r="B1265" i="1"/>
  <c r="A1266" i="1"/>
  <c r="B1266" i="1"/>
  <c r="A1267" i="1"/>
  <c r="B1267" i="1"/>
  <c r="A1268" i="1"/>
  <c r="B1268" i="1"/>
  <c r="A1269" i="1"/>
  <c r="B1269" i="1"/>
  <c r="A1270" i="1"/>
  <c r="B1270" i="1"/>
  <c r="A1271" i="1"/>
  <c r="A1272" i="1"/>
  <c r="A1273" i="1"/>
  <c r="A1274" i="1"/>
  <c r="B1274" i="1"/>
  <c r="A1275" i="1"/>
  <c r="B1275" i="1"/>
  <c r="A1276" i="1"/>
  <c r="B1276" i="1"/>
  <c r="A1277" i="1"/>
  <c r="B1277" i="1"/>
  <c r="A1278" i="1"/>
  <c r="B1278" i="1"/>
  <c r="A1279" i="1"/>
  <c r="B1279" i="1"/>
  <c r="A1280" i="1"/>
  <c r="B1280" i="1"/>
  <c r="A1281" i="1"/>
  <c r="B1281" i="1"/>
  <c r="A1282" i="1"/>
  <c r="A1283" i="1"/>
  <c r="A1284" i="1"/>
  <c r="A1285" i="1"/>
  <c r="A1286" i="1"/>
  <c r="A1287" i="1"/>
  <c r="A1288" i="1"/>
  <c r="A1289" i="1"/>
  <c r="A1290" i="1"/>
  <c r="B1290" i="1"/>
  <c r="A1291" i="1"/>
  <c r="B1291" i="1"/>
  <c r="A1292" i="1"/>
  <c r="B1292" i="1"/>
  <c r="A1293" i="1"/>
  <c r="B1293" i="1"/>
  <c r="A1294" i="1"/>
  <c r="B1294" i="1"/>
  <c r="A1295" i="1"/>
  <c r="B1295" i="1"/>
  <c r="A1296" i="1"/>
  <c r="B1296" i="1"/>
  <c r="A1297" i="1"/>
  <c r="B1297" i="1"/>
  <c r="A1298" i="1"/>
  <c r="B1298" i="1"/>
  <c r="A1299" i="1"/>
  <c r="B1299" i="1"/>
  <c r="A1300" i="1"/>
  <c r="B1300" i="1"/>
  <c r="A1301" i="1"/>
  <c r="A1302" i="1"/>
  <c r="A1303" i="1"/>
  <c r="B1303" i="1"/>
  <c r="A1304" i="1"/>
  <c r="B1304" i="1"/>
  <c r="A1305" i="1"/>
  <c r="B1305" i="1"/>
  <c r="A1306" i="1"/>
  <c r="B1306" i="1"/>
  <c r="A1307" i="1"/>
  <c r="B1307" i="1"/>
  <c r="A1308" i="1"/>
  <c r="B1308" i="1"/>
  <c r="A1309" i="1"/>
  <c r="B1309" i="1"/>
  <c r="A1310" i="1"/>
  <c r="B1310" i="1"/>
  <c r="A1311" i="1"/>
  <c r="B1311" i="1"/>
  <c r="A1312" i="1"/>
  <c r="B1312" i="1"/>
  <c r="A1313" i="1"/>
  <c r="B1313" i="1"/>
  <c r="A1314" i="1"/>
  <c r="B1314" i="1"/>
  <c r="A1315" i="1"/>
  <c r="B1315" i="1"/>
  <c r="A1316" i="1"/>
  <c r="B1316" i="1"/>
  <c r="A1317" i="1"/>
  <c r="B1317" i="1"/>
  <c r="A1318" i="1"/>
  <c r="B1318" i="1"/>
  <c r="A1319" i="1"/>
  <c r="B1319" i="1"/>
  <c r="A1320" i="1"/>
  <c r="B1320" i="1"/>
  <c r="A1321" i="1"/>
  <c r="B1321" i="1"/>
  <c r="A1322" i="1"/>
  <c r="B1322" i="1"/>
  <c r="A1323" i="1"/>
  <c r="B1323" i="1"/>
  <c r="A1324" i="1"/>
  <c r="B1324" i="1"/>
  <c r="A1325" i="1"/>
  <c r="B1325" i="1"/>
  <c r="A1326" i="1"/>
  <c r="B1326" i="1"/>
  <c r="A1327" i="1"/>
  <c r="B1327" i="1"/>
  <c r="A1328" i="1"/>
  <c r="A1329" i="1"/>
  <c r="A1330" i="1"/>
  <c r="A1331" i="1"/>
  <c r="B1331" i="1"/>
  <c r="A1332" i="1"/>
  <c r="A1333" i="1"/>
  <c r="B1333" i="1"/>
  <c r="A1334" i="1"/>
  <c r="B1334" i="1"/>
  <c r="A1335" i="1"/>
  <c r="B1335" i="1"/>
  <c r="A1336" i="1"/>
  <c r="B1336" i="1"/>
  <c r="A1337" i="1"/>
  <c r="A1338" i="1"/>
  <c r="B1338" i="1"/>
  <c r="A1339" i="1"/>
  <c r="B1339" i="1"/>
  <c r="A1340" i="1"/>
  <c r="B1340" i="1"/>
  <c r="A1341" i="1"/>
  <c r="B1341" i="1"/>
  <c r="A1342" i="1"/>
  <c r="A1343" i="1"/>
  <c r="A1344" i="1"/>
  <c r="A1345" i="1"/>
  <c r="B1345" i="1"/>
  <c r="A1346" i="1"/>
  <c r="B1346" i="1"/>
  <c r="A1347" i="1"/>
  <c r="B1347" i="1"/>
  <c r="A1348" i="1"/>
  <c r="A1349" i="1"/>
  <c r="B1349" i="1"/>
  <c r="A1350" i="1"/>
  <c r="B1350" i="1"/>
  <c r="A1351" i="1"/>
  <c r="B1351" i="1"/>
  <c r="A1352" i="1"/>
  <c r="B1352" i="1"/>
  <c r="A1353" i="1"/>
  <c r="B1353" i="1"/>
  <c r="A1354" i="1"/>
  <c r="A1355" i="1"/>
  <c r="A1356" i="1"/>
  <c r="B1356" i="1"/>
  <c r="A1357" i="1"/>
  <c r="B1357" i="1"/>
  <c r="A1358" i="1"/>
  <c r="B1358" i="1"/>
  <c r="A1359" i="1"/>
  <c r="A1360" i="1"/>
  <c r="B1360" i="1"/>
  <c r="A1361" i="1"/>
  <c r="A1362" i="1"/>
  <c r="B1362" i="1"/>
  <c r="A1363" i="1"/>
  <c r="B1363" i="1"/>
  <c r="A1364" i="1"/>
  <c r="B1364" i="1"/>
  <c r="A1365" i="1"/>
  <c r="A1366" i="1"/>
  <c r="A1367" i="1"/>
  <c r="A1368" i="1"/>
  <c r="A1369" i="1"/>
  <c r="B1369" i="1"/>
  <c r="A1370" i="1"/>
  <c r="B1370" i="1"/>
  <c r="A1371" i="1"/>
  <c r="B1371" i="1"/>
  <c r="A1372" i="1"/>
  <c r="B1372" i="1"/>
  <c r="A1373" i="1"/>
  <c r="B1373" i="1"/>
  <c r="A1374" i="1"/>
  <c r="A1375" i="1"/>
  <c r="B1375" i="1"/>
  <c r="A1376" i="1"/>
  <c r="B1376" i="1"/>
  <c r="A1377" i="1"/>
  <c r="B1377" i="1"/>
  <c r="A1378" i="1"/>
  <c r="B1378" i="1"/>
  <c r="A1379" i="1"/>
  <c r="B1379" i="1"/>
  <c r="A1380" i="1"/>
  <c r="B1380" i="1"/>
  <c r="A1381" i="1"/>
  <c r="B1381" i="1"/>
  <c r="A1382" i="1"/>
  <c r="B1382" i="1"/>
  <c r="A1383" i="1"/>
  <c r="B1383" i="1"/>
  <c r="A1384" i="1"/>
  <c r="B1384" i="1"/>
  <c r="A1385" i="1"/>
  <c r="B1385" i="1"/>
  <c r="A1386" i="1"/>
  <c r="B1386" i="1"/>
  <c r="A1387" i="1"/>
  <c r="B1387" i="1"/>
  <c r="A1388" i="1"/>
  <c r="B1388" i="1"/>
  <c r="A1389" i="1"/>
  <c r="A1390" i="1"/>
  <c r="A1391" i="1"/>
  <c r="B1391" i="1"/>
  <c r="A1392" i="1"/>
  <c r="B1392" i="1"/>
  <c r="A1393" i="1"/>
  <c r="B1393" i="1"/>
  <c r="A1394" i="1"/>
  <c r="A1395" i="1"/>
  <c r="A1396" i="1"/>
  <c r="A1397" i="1"/>
  <c r="B1397" i="1"/>
  <c r="A1398" i="1"/>
  <c r="B1398" i="1"/>
  <c r="A1399" i="1"/>
  <c r="B1399" i="1"/>
  <c r="A1400" i="1"/>
  <c r="B1400" i="1"/>
  <c r="A1401" i="1"/>
  <c r="B1401" i="1"/>
  <c r="A1402" i="1"/>
  <c r="B1402" i="1"/>
  <c r="A1403" i="1"/>
  <c r="B1403" i="1"/>
  <c r="A1404" i="1"/>
  <c r="A1405" i="1"/>
  <c r="A1406" i="1"/>
  <c r="A1407" i="1"/>
  <c r="B1407" i="1"/>
  <c r="A1408" i="1"/>
  <c r="B1408" i="1"/>
  <c r="A1409" i="1"/>
  <c r="B1409" i="1"/>
  <c r="A1410" i="1"/>
  <c r="B1410" i="1"/>
  <c r="A1411" i="1"/>
  <c r="B1411" i="1"/>
  <c r="A1412" i="1"/>
  <c r="B1412" i="1"/>
  <c r="A1413" i="1"/>
  <c r="A1414" i="1"/>
  <c r="B1414" i="1"/>
  <c r="A1415" i="1"/>
  <c r="B1415" i="1"/>
  <c r="A1416" i="1"/>
  <c r="A1417" i="1"/>
  <c r="B1417" i="1"/>
  <c r="A1418" i="1"/>
  <c r="B1418" i="1"/>
  <c r="A1419" i="1"/>
  <c r="B1419" i="1"/>
  <c r="A1420" i="1"/>
  <c r="B1420" i="1"/>
  <c r="A1421" i="1"/>
  <c r="B1421" i="1"/>
  <c r="A1422" i="1"/>
  <c r="B1422" i="1"/>
  <c r="A1423" i="1"/>
  <c r="B1423" i="1"/>
  <c r="A1424" i="1"/>
  <c r="A1425" i="1"/>
  <c r="B1425" i="1"/>
  <c r="A1426" i="1"/>
  <c r="B1426" i="1"/>
  <c r="A1427" i="1"/>
  <c r="B1427" i="1"/>
  <c r="A1428" i="1"/>
  <c r="A1429" i="1"/>
  <c r="B1429" i="1"/>
  <c r="A1430" i="1"/>
  <c r="B1430" i="1"/>
  <c r="A1431" i="1"/>
  <c r="B1431" i="1"/>
  <c r="A1432" i="1"/>
  <c r="A1433" i="1"/>
  <c r="B1433" i="1"/>
  <c r="A1434" i="1"/>
  <c r="B1434" i="1"/>
  <c r="A1435" i="1"/>
  <c r="A1436" i="1"/>
  <c r="A1437" i="1"/>
  <c r="B1437" i="1"/>
  <c r="A1438" i="1"/>
  <c r="B1438" i="1"/>
  <c r="A1439" i="1"/>
  <c r="B1439" i="1"/>
  <c r="A1440" i="1"/>
  <c r="B1440" i="1"/>
  <c r="A1441" i="1"/>
  <c r="B1441" i="1"/>
  <c r="A1442" i="1"/>
  <c r="B1442" i="1"/>
  <c r="A1443" i="1"/>
  <c r="A1444" i="1"/>
  <c r="B1444" i="1"/>
  <c r="A1445" i="1"/>
  <c r="B1445" i="1"/>
  <c r="A1446" i="1"/>
  <c r="B1446" i="1"/>
  <c r="A1447" i="1"/>
  <c r="B1447" i="1"/>
  <c r="A1448" i="1"/>
  <c r="A1449" i="1"/>
  <c r="A1450" i="1"/>
  <c r="B1450" i="1"/>
  <c r="A1451" i="1"/>
  <c r="A1452" i="1"/>
  <c r="B1452" i="1"/>
  <c r="A1453" i="1"/>
  <c r="B1453" i="1"/>
  <c r="A1454" i="1"/>
  <c r="A1455" i="1"/>
  <c r="A1456" i="1"/>
  <c r="B1456" i="1"/>
  <c r="A1457" i="1"/>
  <c r="B1457" i="1"/>
  <c r="A1458" i="1"/>
  <c r="B1458" i="1"/>
  <c r="A1459" i="1"/>
  <c r="B1459" i="1"/>
  <c r="A1460" i="1"/>
  <c r="B1460" i="1"/>
  <c r="A1461" i="1"/>
  <c r="B1461" i="1"/>
  <c r="A1462" i="1"/>
  <c r="B1462" i="1"/>
  <c r="A1463" i="1"/>
  <c r="B1463" i="1"/>
  <c r="A1464" i="1"/>
  <c r="B1464" i="1"/>
  <c r="A1465" i="1"/>
  <c r="A1466" i="1"/>
  <c r="A1467" i="1"/>
  <c r="A1468" i="1"/>
  <c r="A1469" i="1"/>
  <c r="A1470" i="1"/>
  <c r="B1470" i="1"/>
  <c r="A1471" i="1"/>
  <c r="B1471" i="1"/>
  <c r="A1472" i="1"/>
  <c r="B1472" i="1"/>
  <c r="A1473" i="1"/>
  <c r="B1473" i="1"/>
  <c r="A1474" i="1"/>
  <c r="B1474" i="1"/>
  <c r="A1475" i="1"/>
  <c r="B1475" i="1"/>
  <c r="A1476" i="1"/>
  <c r="B1476" i="1"/>
  <c r="A1477" i="1"/>
  <c r="B1477" i="1"/>
  <c r="A1478" i="1"/>
  <c r="B1478" i="1"/>
  <c r="A1479" i="1"/>
  <c r="B1479" i="1"/>
  <c r="A1480" i="1"/>
  <c r="B1480" i="1"/>
  <c r="A1481" i="1"/>
  <c r="B1481" i="1"/>
  <c r="A1482" i="1"/>
  <c r="B1482" i="1"/>
  <c r="A1483" i="1"/>
  <c r="B1483" i="1"/>
  <c r="A1484" i="1"/>
  <c r="B1484" i="1"/>
  <c r="A1485" i="1"/>
  <c r="B1485" i="1"/>
  <c r="A1486" i="1"/>
  <c r="A1487" i="1"/>
  <c r="A1488" i="1"/>
  <c r="B1488" i="1"/>
  <c r="A1489" i="1"/>
  <c r="B1489" i="1"/>
  <c r="A1490" i="1"/>
  <c r="B1490" i="1"/>
  <c r="A1491" i="1"/>
  <c r="B1491" i="1"/>
  <c r="A1492" i="1"/>
  <c r="A1493" i="1"/>
  <c r="B1493" i="1"/>
  <c r="A1494" i="1"/>
  <c r="A1495" i="1"/>
  <c r="B1495" i="1"/>
  <c r="A1496" i="1"/>
  <c r="B1496" i="1"/>
  <c r="A1497" i="1"/>
  <c r="B1497" i="1"/>
  <c r="A1498" i="1"/>
  <c r="B1498" i="1"/>
  <c r="A1499" i="1"/>
  <c r="B1499" i="1"/>
  <c r="A1500" i="1"/>
  <c r="A1501" i="1"/>
  <c r="B1501" i="1"/>
  <c r="A1502" i="1"/>
  <c r="B1502" i="1"/>
  <c r="A1503" i="1"/>
  <c r="A1504" i="1"/>
  <c r="A1505" i="1"/>
  <c r="B1505" i="1"/>
  <c r="A1506" i="1"/>
  <c r="A1507" i="1"/>
  <c r="B1507" i="1"/>
  <c r="A1508" i="1"/>
  <c r="B1508" i="1"/>
  <c r="A1509" i="1"/>
  <c r="A1510" i="1"/>
  <c r="B1510" i="1"/>
  <c r="A1511" i="1"/>
  <c r="B1511" i="1"/>
  <c r="A1512" i="1"/>
  <c r="B1512" i="1"/>
  <c r="A1513" i="1"/>
  <c r="B1513" i="1"/>
  <c r="A1514" i="1"/>
  <c r="B1514" i="1"/>
  <c r="A1515" i="1"/>
  <c r="B1515" i="1"/>
  <c r="A1516" i="1"/>
  <c r="B1516" i="1"/>
  <c r="A1517" i="1"/>
  <c r="B1517" i="1"/>
  <c r="A1518" i="1"/>
  <c r="B1518" i="1"/>
  <c r="A1519" i="1"/>
  <c r="B1519" i="1"/>
  <c r="A1520" i="1"/>
  <c r="B1520" i="1"/>
  <c r="A1521" i="1"/>
  <c r="B1521" i="1"/>
  <c r="A1522" i="1"/>
  <c r="B1522" i="1"/>
  <c r="A1523" i="1"/>
  <c r="B1523" i="1"/>
  <c r="A1524" i="1"/>
  <c r="A1525" i="1"/>
  <c r="B1525" i="1"/>
  <c r="A1526" i="1"/>
  <c r="B1526" i="1"/>
  <c r="A1527" i="1"/>
  <c r="B1527" i="1"/>
  <c r="A1528" i="1"/>
  <c r="B1528" i="1"/>
  <c r="A1529" i="1"/>
  <c r="B1529" i="1"/>
  <c r="A1530" i="1"/>
  <c r="B1530" i="1"/>
  <c r="A1531" i="1"/>
  <c r="B1531" i="1"/>
  <c r="A1532" i="1"/>
  <c r="A1533" i="1"/>
  <c r="B1533" i="1"/>
  <c r="A1534" i="1"/>
  <c r="B1534" i="1"/>
  <c r="A1535" i="1"/>
  <c r="B1535" i="1"/>
  <c r="A1536" i="1"/>
  <c r="B1536" i="1"/>
  <c r="A1537" i="1"/>
  <c r="B1537" i="1"/>
  <c r="A1538" i="1"/>
  <c r="B1538" i="1"/>
  <c r="A1539" i="1"/>
  <c r="B1539" i="1"/>
  <c r="A1540" i="1"/>
  <c r="B1540" i="1"/>
  <c r="A1541" i="1"/>
  <c r="B1541" i="1"/>
  <c r="A1542" i="1"/>
  <c r="B1542" i="1"/>
  <c r="A1543" i="1"/>
  <c r="B1543" i="1"/>
  <c r="A1544" i="1"/>
  <c r="B1544" i="1"/>
  <c r="A1545" i="1"/>
  <c r="A1546" i="1"/>
  <c r="B1546" i="1"/>
  <c r="A1547" i="1"/>
  <c r="A1548" i="1"/>
  <c r="B1548" i="1"/>
  <c r="A1549" i="1"/>
  <c r="B1549" i="1"/>
  <c r="A1550" i="1"/>
  <c r="B1550" i="1"/>
  <c r="A1551" i="1"/>
  <c r="B1551" i="1"/>
  <c r="A1552" i="1"/>
  <c r="B1552" i="1"/>
  <c r="A1553" i="1"/>
  <c r="B1553" i="1"/>
  <c r="A1554" i="1"/>
  <c r="B1554" i="1"/>
  <c r="A1555" i="1"/>
  <c r="A1556" i="1"/>
  <c r="B1556" i="1"/>
  <c r="A1557" i="1"/>
  <c r="B1557" i="1"/>
  <c r="A1558" i="1"/>
  <c r="A1559" i="1"/>
  <c r="A1560" i="1"/>
  <c r="B1560" i="1"/>
  <c r="A1561" i="1"/>
  <c r="B1561" i="1"/>
  <c r="A1562" i="1"/>
  <c r="B1562" i="1"/>
  <c r="A1563" i="1"/>
  <c r="B1563" i="1"/>
  <c r="A1564" i="1"/>
  <c r="B1564" i="1"/>
  <c r="A1565" i="1"/>
  <c r="B1565" i="1"/>
  <c r="A1566" i="1"/>
  <c r="B1566" i="1"/>
  <c r="A1567" i="1"/>
  <c r="B1567" i="1"/>
  <c r="A1568" i="1"/>
  <c r="B1568" i="1"/>
  <c r="A1569" i="1"/>
  <c r="B1569" i="1"/>
  <c r="A1570" i="1"/>
  <c r="B1570" i="1"/>
  <c r="A1571" i="1"/>
  <c r="B1571" i="1"/>
  <c r="A1572" i="1"/>
  <c r="A1573" i="1"/>
  <c r="A1574" i="1"/>
  <c r="A1575" i="1"/>
  <c r="B1575" i="1"/>
  <c r="A1576" i="1"/>
  <c r="B1576" i="1"/>
  <c r="A1577" i="1"/>
  <c r="B1577" i="1"/>
  <c r="A1578" i="1"/>
  <c r="B1578" i="1"/>
  <c r="A1579" i="1"/>
  <c r="B1579" i="1"/>
  <c r="A1580" i="1"/>
  <c r="B1580" i="1"/>
  <c r="A1581" i="1"/>
  <c r="A1582" i="1"/>
  <c r="B1582" i="1"/>
  <c r="A1583" i="1"/>
  <c r="B1583" i="1"/>
  <c r="A1584" i="1"/>
  <c r="B1584" i="1"/>
  <c r="A1585" i="1"/>
  <c r="B1585" i="1"/>
  <c r="A1586" i="1"/>
  <c r="B1586" i="1"/>
  <c r="A1587" i="1"/>
  <c r="B1587" i="1"/>
  <c r="A1588" i="1"/>
  <c r="B1588" i="1"/>
  <c r="A1589" i="1"/>
  <c r="A1590" i="1"/>
  <c r="B1590" i="1"/>
  <c r="A1591" i="1"/>
  <c r="B1591" i="1"/>
  <c r="A1592" i="1"/>
  <c r="B1592" i="1"/>
  <c r="A1593" i="1"/>
  <c r="B1593" i="1"/>
  <c r="A1594" i="1"/>
  <c r="B1594" i="1"/>
  <c r="A1595" i="1"/>
  <c r="B1595" i="1"/>
  <c r="A1596" i="1"/>
  <c r="B1596" i="1"/>
  <c r="A1597" i="1"/>
  <c r="B1597" i="1"/>
  <c r="A1598" i="1"/>
  <c r="B1598" i="1"/>
  <c r="A1599" i="1"/>
  <c r="B1599" i="1"/>
  <c r="A1600" i="1"/>
  <c r="B1600" i="1"/>
  <c r="A1601" i="1"/>
  <c r="B1601" i="1"/>
  <c r="A1602" i="1"/>
  <c r="B1602" i="1"/>
  <c r="A1603" i="1"/>
  <c r="B1603" i="1"/>
  <c r="A1604" i="1"/>
  <c r="A1605" i="1"/>
  <c r="B1605" i="1"/>
  <c r="A1606" i="1"/>
  <c r="B1606" i="1"/>
  <c r="A1607" i="1"/>
  <c r="B1607" i="1"/>
  <c r="A1608" i="1"/>
  <c r="B1608" i="1"/>
  <c r="A1609" i="1"/>
  <c r="B1609" i="1"/>
  <c r="A1610" i="1"/>
  <c r="B1610" i="1"/>
  <c r="A1611" i="1"/>
  <c r="B1611" i="1"/>
  <c r="A1612" i="1"/>
  <c r="B1612" i="1"/>
  <c r="A1613" i="1"/>
  <c r="B1613" i="1"/>
  <c r="A1614" i="1"/>
  <c r="A1615" i="1"/>
  <c r="B1615" i="1"/>
  <c r="A1616" i="1"/>
  <c r="B1616" i="1"/>
  <c r="A1617" i="1"/>
  <c r="A1618" i="1"/>
  <c r="B1618" i="1"/>
  <c r="A1619" i="1"/>
  <c r="B1619" i="1"/>
  <c r="A1620" i="1"/>
  <c r="B1620" i="1"/>
  <c r="A1621" i="1"/>
  <c r="B1621" i="1"/>
  <c r="A1622" i="1"/>
  <c r="B1622" i="1"/>
  <c r="A1623" i="1"/>
  <c r="B1623" i="1"/>
  <c r="A1624" i="1"/>
  <c r="B1624" i="1"/>
  <c r="A1625" i="1"/>
  <c r="B1625" i="1"/>
  <c r="A1626" i="1"/>
  <c r="B1626" i="1"/>
  <c r="A1627" i="1"/>
  <c r="B1627" i="1"/>
  <c r="A1628" i="1"/>
  <c r="B1628" i="1"/>
  <c r="A1629" i="1"/>
  <c r="B1629" i="1"/>
  <c r="A1630" i="1"/>
  <c r="B1630" i="1"/>
  <c r="A1631" i="1"/>
  <c r="B1631" i="1"/>
  <c r="A1632" i="1"/>
  <c r="B1632" i="1"/>
  <c r="A1633" i="1"/>
  <c r="B1633" i="1"/>
  <c r="A1634" i="1"/>
  <c r="B1634" i="1"/>
  <c r="A1635" i="1"/>
  <c r="B1635" i="1"/>
  <c r="A1636" i="1"/>
  <c r="B1636" i="1"/>
  <c r="A1637" i="1"/>
  <c r="B1637" i="1"/>
  <c r="A1638" i="1"/>
  <c r="B1638" i="1"/>
  <c r="A1639" i="1"/>
  <c r="B1639" i="1"/>
  <c r="A1640" i="1"/>
  <c r="B1640" i="1"/>
  <c r="A1641" i="1"/>
  <c r="B1641" i="1"/>
  <c r="A1642" i="1"/>
  <c r="B1642" i="1"/>
  <c r="A1643" i="1"/>
  <c r="B1643" i="1"/>
  <c r="A1644" i="1"/>
  <c r="B1644" i="1"/>
  <c r="A1645" i="1"/>
  <c r="B1645" i="1"/>
  <c r="A1646" i="1"/>
  <c r="B1646" i="1"/>
  <c r="A1647" i="1"/>
  <c r="B1647" i="1"/>
  <c r="A1648" i="1"/>
  <c r="B1648" i="1"/>
  <c r="A1649" i="1"/>
  <c r="B1649" i="1"/>
  <c r="A1650" i="1"/>
  <c r="B1650" i="1"/>
  <c r="A1651" i="1"/>
  <c r="A1652" i="1"/>
  <c r="A1653" i="1"/>
  <c r="A1654" i="1"/>
  <c r="A1655" i="1"/>
  <c r="B1655" i="1"/>
  <c r="A1656" i="1"/>
  <c r="A1657" i="1"/>
  <c r="A1658" i="1"/>
  <c r="A1659" i="1"/>
  <c r="A1660" i="1"/>
  <c r="A1661" i="1"/>
  <c r="B1661" i="1"/>
  <c r="A1662" i="1"/>
  <c r="B1662" i="1"/>
  <c r="A1663" i="1"/>
  <c r="B1663" i="1"/>
  <c r="A1664" i="1"/>
  <c r="B1664" i="1"/>
  <c r="A1665" i="1"/>
  <c r="B1665" i="1"/>
  <c r="A1666" i="1"/>
  <c r="B1666" i="1"/>
  <c r="A1667" i="1"/>
  <c r="B1667" i="1"/>
  <c r="A1668" i="1"/>
  <c r="A1669" i="1"/>
  <c r="B1669" i="1"/>
  <c r="A1670" i="1"/>
  <c r="B1670" i="1"/>
  <c r="A1671" i="1"/>
  <c r="B1671" i="1"/>
  <c r="A1672" i="1"/>
  <c r="A1673" i="1"/>
  <c r="B1673" i="1"/>
  <c r="A1674" i="1"/>
  <c r="B1674" i="1"/>
  <c r="A1675" i="1"/>
  <c r="B1675" i="1"/>
  <c r="A1676" i="1"/>
  <c r="B1676" i="1"/>
  <c r="A1677" i="1"/>
  <c r="B1677" i="1"/>
  <c r="A1678" i="1"/>
  <c r="B1678" i="1"/>
  <c r="A1679" i="1"/>
  <c r="B1679" i="1"/>
  <c r="A1680" i="1"/>
  <c r="B1680" i="1"/>
  <c r="A1681" i="1"/>
  <c r="B1681" i="1"/>
  <c r="A1682" i="1"/>
  <c r="A1683" i="1"/>
  <c r="A1684" i="1"/>
  <c r="B1684" i="1"/>
  <c r="A1685" i="1"/>
  <c r="B1685" i="1"/>
  <c r="A1686" i="1"/>
  <c r="B1686" i="1"/>
  <c r="A1687" i="1"/>
  <c r="A1688" i="1"/>
  <c r="A1689" i="1"/>
  <c r="B1689" i="1"/>
  <c r="A1690" i="1"/>
  <c r="A1691" i="1"/>
  <c r="B1691" i="1"/>
  <c r="A1692" i="1"/>
  <c r="B1692" i="1"/>
  <c r="A1693" i="1"/>
  <c r="A1694" i="1"/>
  <c r="B1694" i="1"/>
  <c r="A1695" i="1"/>
  <c r="B1695" i="1"/>
  <c r="A1696" i="1"/>
  <c r="B1696" i="1"/>
  <c r="A1697" i="1"/>
  <c r="B1697" i="1"/>
  <c r="A1698" i="1"/>
  <c r="B1698" i="1"/>
  <c r="A1699" i="1"/>
  <c r="B1699" i="1"/>
  <c r="A1700" i="1"/>
  <c r="B1700" i="1"/>
  <c r="A1701" i="1"/>
  <c r="A1702" i="1"/>
  <c r="B1702" i="1"/>
  <c r="A1703" i="1"/>
  <c r="B1703" i="1"/>
  <c r="A1704" i="1"/>
  <c r="B1704" i="1"/>
  <c r="A1705" i="1"/>
  <c r="B1705" i="1"/>
  <c r="A1706" i="1"/>
  <c r="B1706" i="1"/>
  <c r="A1707" i="1"/>
  <c r="A1708" i="1"/>
  <c r="A1709" i="1"/>
  <c r="A1710" i="1"/>
  <c r="B1710" i="1"/>
  <c r="A1711" i="1"/>
  <c r="A1712" i="1"/>
  <c r="B1712" i="1"/>
  <c r="A1713" i="1"/>
  <c r="B1713" i="1"/>
  <c r="A1714" i="1"/>
  <c r="B1714" i="1"/>
  <c r="A1715" i="1"/>
  <c r="B1715" i="1"/>
  <c r="A1716" i="1"/>
  <c r="B1716" i="1"/>
  <c r="A1717" i="1"/>
  <c r="B1717" i="1"/>
  <c r="A1718" i="1"/>
  <c r="B1718" i="1"/>
  <c r="A1719" i="1"/>
  <c r="B1719" i="1"/>
  <c r="A1720" i="1"/>
  <c r="B1720" i="1"/>
  <c r="A1721" i="1"/>
  <c r="B1721" i="1"/>
  <c r="A1722" i="1"/>
  <c r="A1723" i="1"/>
  <c r="B1723" i="1"/>
  <c r="A1724" i="1"/>
  <c r="B1724" i="1"/>
  <c r="A1725" i="1"/>
  <c r="B1725" i="1"/>
  <c r="A1726" i="1"/>
  <c r="B1726" i="1"/>
  <c r="A1727" i="1"/>
  <c r="B1727" i="1"/>
  <c r="A1728" i="1"/>
  <c r="B1728" i="1"/>
  <c r="A1729" i="1"/>
  <c r="A1730" i="1"/>
  <c r="A1731" i="1"/>
  <c r="B1731" i="1"/>
  <c r="A1732" i="1"/>
  <c r="A1733" i="1"/>
  <c r="A1734" i="1"/>
  <c r="A1735" i="1"/>
  <c r="A1736" i="1"/>
  <c r="A1737" i="1"/>
  <c r="B1737" i="1"/>
  <c r="A1738" i="1"/>
  <c r="B1738" i="1"/>
  <c r="A1739" i="1"/>
  <c r="B1739" i="1"/>
  <c r="A1740" i="1"/>
  <c r="B1740" i="1"/>
  <c r="A1741" i="1"/>
  <c r="B1741" i="1"/>
  <c r="A1742" i="1"/>
  <c r="B1742" i="1"/>
  <c r="A1743" i="1"/>
  <c r="B1743" i="1"/>
  <c r="A1744" i="1"/>
  <c r="B1744" i="1"/>
  <c r="A1745" i="1"/>
  <c r="A1746" i="1"/>
  <c r="B1746" i="1"/>
  <c r="A1747" i="1"/>
  <c r="A1748" i="1"/>
  <c r="B1748" i="1"/>
  <c r="A1749" i="1"/>
  <c r="A1750" i="1"/>
  <c r="B1750" i="1"/>
  <c r="A1751" i="1"/>
  <c r="B1751" i="1"/>
  <c r="A1752" i="1"/>
  <c r="B1752" i="1"/>
  <c r="A1753" i="1"/>
  <c r="B1753" i="1"/>
  <c r="A1754" i="1"/>
  <c r="A1755" i="1"/>
  <c r="A1756" i="1"/>
  <c r="B1756" i="1"/>
  <c r="A1757" i="1"/>
  <c r="A1758" i="1"/>
  <c r="B1758" i="1"/>
  <c r="A1759" i="1"/>
  <c r="B1759" i="1"/>
  <c r="A1760" i="1"/>
  <c r="B1760" i="1"/>
  <c r="A1761" i="1"/>
  <c r="B1761" i="1"/>
  <c r="A1762" i="1"/>
  <c r="A1763" i="1"/>
  <c r="B1763" i="1"/>
  <c r="A1764" i="1"/>
  <c r="B1764" i="1"/>
  <c r="A1765" i="1"/>
  <c r="B1765" i="1"/>
  <c r="A1766" i="1"/>
  <c r="B1766" i="1"/>
  <c r="A1767" i="1"/>
  <c r="B1767" i="1"/>
  <c r="A1768" i="1"/>
  <c r="B1768" i="1"/>
  <c r="A1769" i="1"/>
  <c r="B1769" i="1"/>
  <c r="A1770" i="1"/>
  <c r="B1770" i="1"/>
  <c r="A1771" i="1"/>
  <c r="B1771" i="1"/>
  <c r="A1772" i="1"/>
  <c r="A1773" i="1"/>
  <c r="B1773" i="1"/>
  <c r="A1774" i="1"/>
  <c r="B1774" i="1"/>
  <c r="A1775" i="1"/>
  <c r="B1775" i="1"/>
  <c r="A1776" i="1"/>
  <c r="B1776" i="1"/>
  <c r="A1777" i="1"/>
  <c r="B1777" i="1"/>
  <c r="A1778" i="1"/>
  <c r="B1778" i="1"/>
  <c r="A1779" i="1"/>
  <c r="A1780" i="1"/>
  <c r="B1780" i="1"/>
  <c r="A1781" i="1"/>
  <c r="B1781" i="1"/>
  <c r="A1782" i="1"/>
  <c r="B1782" i="1"/>
  <c r="A1783" i="1"/>
  <c r="A1784" i="1"/>
  <c r="A1785" i="1"/>
  <c r="A1786" i="1"/>
  <c r="A1787" i="1"/>
  <c r="B1787" i="1"/>
  <c r="A1788" i="1"/>
  <c r="B1788" i="1"/>
  <c r="A1789" i="1"/>
  <c r="B1789" i="1"/>
  <c r="A1790" i="1"/>
  <c r="A1791" i="1"/>
  <c r="A1792" i="1"/>
  <c r="A1793" i="1"/>
  <c r="A1794" i="1"/>
  <c r="A1795" i="1"/>
  <c r="A1796" i="1"/>
  <c r="A1797" i="1"/>
  <c r="A1798" i="1"/>
  <c r="A1799" i="1"/>
  <c r="B1799" i="1"/>
  <c r="A1800" i="1"/>
  <c r="B1800" i="1"/>
  <c r="A1801" i="1"/>
  <c r="B1801" i="1"/>
  <c r="A1802" i="1"/>
  <c r="B1802" i="1"/>
  <c r="A1803" i="1"/>
  <c r="B1803" i="1"/>
  <c r="A1804" i="1"/>
  <c r="A1805" i="1"/>
  <c r="A1806" i="1"/>
  <c r="B1806" i="1"/>
  <c r="A1807" i="1"/>
  <c r="A1808" i="1"/>
  <c r="B1808" i="1"/>
  <c r="A1809" i="1"/>
  <c r="B1809" i="1"/>
  <c r="A1810" i="1"/>
  <c r="B1810" i="1"/>
  <c r="A1811" i="1"/>
  <c r="B1811" i="1"/>
  <c r="A1812" i="1"/>
  <c r="B1812" i="1"/>
  <c r="A1813" i="1"/>
  <c r="B1813" i="1"/>
  <c r="A1814" i="1"/>
  <c r="A1815" i="1"/>
  <c r="A1816" i="1"/>
  <c r="A1817" i="1"/>
  <c r="A1818" i="1"/>
  <c r="A1819" i="1"/>
  <c r="A1820" i="1"/>
  <c r="A1821" i="1"/>
  <c r="A1822" i="1"/>
  <c r="B1822" i="1"/>
  <c r="A1823" i="1"/>
  <c r="B1823" i="1"/>
  <c r="A1824" i="1"/>
  <c r="A1825" i="1"/>
  <c r="A1826" i="1"/>
  <c r="A1827" i="1"/>
  <c r="A1828" i="1"/>
  <c r="A1829" i="1"/>
  <c r="A1830" i="1"/>
  <c r="B1830" i="1"/>
  <c r="A1831" i="1"/>
  <c r="A1832" i="1"/>
  <c r="A1833" i="1"/>
  <c r="A1834" i="1"/>
  <c r="B1834" i="1"/>
  <c r="A1835" i="1"/>
  <c r="B1835" i="1"/>
  <c r="A1836" i="1"/>
  <c r="B1836" i="1"/>
  <c r="A1837" i="1"/>
  <c r="B1837" i="1"/>
  <c r="A1838" i="1"/>
  <c r="A1839" i="1"/>
  <c r="B1839" i="1"/>
  <c r="A1840" i="1"/>
  <c r="B1840" i="1"/>
  <c r="A1841" i="1"/>
  <c r="B1841" i="1"/>
  <c r="A1842" i="1"/>
  <c r="A1843" i="1"/>
  <c r="B1843" i="1"/>
  <c r="A1844" i="1"/>
  <c r="B1844" i="1"/>
  <c r="A1845" i="1"/>
  <c r="B1845" i="1"/>
  <c r="A1846" i="1"/>
  <c r="B1846" i="1"/>
  <c r="A1847" i="1"/>
  <c r="B1847" i="1"/>
  <c r="A1848" i="1"/>
  <c r="A1849" i="1"/>
  <c r="B1849" i="1"/>
  <c r="A1850" i="1"/>
  <c r="B1850" i="1"/>
  <c r="A1851" i="1"/>
  <c r="B1851" i="1"/>
  <c r="A1852" i="1"/>
  <c r="B1852" i="1"/>
  <c r="A1853" i="1"/>
  <c r="B1853" i="1"/>
  <c r="A1854" i="1"/>
  <c r="B1854" i="1"/>
  <c r="A1855" i="1"/>
  <c r="A1856" i="1"/>
  <c r="B1856" i="1"/>
  <c r="A1857" i="1"/>
  <c r="B1857" i="1"/>
  <c r="A1858" i="1"/>
  <c r="B1858" i="1"/>
  <c r="A1859" i="1"/>
  <c r="B1859" i="1"/>
  <c r="A1860" i="1"/>
  <c r="B1860" i="1"/>
  <c r="A1861" i="1"/>
  <c r="B1861" i="1"/>
  <c r="A1862" i="1"/>
  <c r="B1862" i="1"/>
  <c r="A1863" i="1"/>
  <c r="B1863" i="1"/>
  <c r="A1864" i="1"/>
  <c r="B1864" i="1"/>
  <c r="A1865" i="1"/>
  <c r="B1865" i="1"/>
  <c r="A1866" i="1"/>
  <c r="B1866" i="1"/>
  <c r="A1867" i="1"/>
  <c r="B1867" i="1"/>
  <c r="A1868" i="1"/>
  <c r="B1868" i="1"/>
  <c r="A1869" i="1"/>
  <c r="B1869" i="1"/>
  <c r="A1870" i="1"/>
  <c r="B1870" i="1"/>
  <c r="A1871" i="1"/>
  <c r="B1871" i="1"/>
  <c r="A1872" i="1"/>
  <c r="B1872" i="1"/>
  <c r="A1873" i="1"/>
  <c r="B1873" i="1"/>
  <c r="A1874" i="1"/>
  <c r="B1874" i="1"/>
  <c r="A1875" i="1"/>
  <c r="B1875" i="1"/>
  <c r="A1876" i="1"/>
  <c r="B1876" i="1"/>
  <c r="A1877" i="1"/>
  <c r="B1877" i="1"/>
  <c r="A1878" i="1"/>
  <c r="B1878" i="1"/>
  <c r="A1879" i="1"/>
  <c r="B1879" i="1"/>
  <c r="A1880" i="1"/>
  <c r="B1880" i="1"/>
  <c r="A1881" i="1"/>
  <c r="B1881" i="1"/>
  <c r="A1882" i="1"/>
  <c r="B1882" i="1"/>
  <c r="A1883" i="1"/>
  <c r="A1884" i="1"/>
  <c r="B1884" i="1"/>
  <c r="A1885" i="1"/>
  <c r="B1885" i="1"/>
  <c r="A1886" i="1"/>
  <c r="B1886" i="1"/>
  <c r="A1887" i="1"/>
  <c r="B1887" i="1"/>
  <c r="A1888" i="1"/>
  <c r="B1888" i="1"/>
  <c r="A1889" i="1"/>
  <c r="B1889" i="1"/>
  <c r="A1890" i="1"/>
  <c r="B1890" i="1"/>
  <c r="A1891" i="1"/>
  <c r="A1892" i="1"/>
  <c r="B1892" i="1"/>
  <c r="A1893" i="1"/>
  <c r="B1893" i="1"/>
  <c r="A1894" i="1"/>
  <c r="B1894" i="1"/>
  <c r="A1895" i="1"/>
  <c r="B1895" i="1"/>
  <c r="A1896" i="1"/>
  <c r="B1896" i="1"/>
  <c r="A1897" i="1"/>
  <c r="B1897" i="1"/>
  <c r="A1898" i="1"/>
  <c r="B1898" i="1"/>
  <c r="A1899" i="1"/>
  <c r="B1899" i="1"/>
  <c r="A1900" i="1"/>
  <c r="B1900" i="1"/>
  <c r="A1901" i="1"/>
  <c r="B1901" i="1"/>
  <c r="A1902" i="1"/>
  <c r="A1903" i="1"/>
  <c r="A1904" i="1"/>
  <c r="B1904" i="1"/>
  <c r="A1905" i="1"/>
  <c r="B1905" i="1"/>
  <c r="A1906" i="1"/>
  <c r="B1906" i="1"/>
  <c r="A1907" i="1"/>
  <c r="B1907" i="1"/>
  <c r="A1908" i="1"/>
  <c r="B1908" i="1"/>
  <c r="A1909" i="1"/>
  <c r="A1910" i="1"/>
  <c r="A1911" i="1"/>
  <c r="A1912" i="1"/>
  <c r="A1913" i="1"/>
  <c r="A1914" i="1"/>
  <c r="B1914" i="1"/>
  <c r="A1915" i="1"/>
  <c r="A1916" i="1"/>
  <c r="B1916" i="1"/>
  <c r="A1917" i="1"/>
  <c r="B1917" i="1"/>
  <c r="A1918" i="1"/>
  <c r="B1918" i="1"/>
  <c r="A1919" i="1"/>
  <c r="B1919" i="1"/>
  <c r="A1920" i="1"/>
  <c r="A1921" i="1"/>
  <c r="B1921" i="1"/>
  <c r="A1922" i="1"/>
  <c r="B1922" i="1"/>
  <c r="A1923" i="1"/>
  <c r="B1923" i="1"/>
  <c r="A1924" i="1"/>
  <c r="A1925" i="1"/>
  <c r="A1926" i="1"/>
  <c r="B1926" i="1"/>
  <c r="A1927" i="1"/>
  <c r="A1928" i="1"/>
  <c r="A1929" i="1"/>
  <c r="B1929" i="1"/>
  <c r="A1930" i="1"/>
  <c r="B1930" i="1"/>
  <c r="A1931" i="1"/>
  <c r="B1931" i="1"/>
  <c r="A1932" i="1"/>
  <c r="B1932" i="1"/>
  <c r="A1933" i="1"/>
  <c r="B1933" i="1"/>
  <c r="A1934" i="1"/>
  <c r="B1934" i="1"/>
  <c r="A1935" i="1"/>
  <c r="B1935" i="1"/>
  <c r="A1936" i="1"/>
  <c r="B1936" i="1"/>
  <c r="A1937" i="1"/>
  <c r="B1937" i="1"/>
  <c r="A1938" i="1"/>
  <c r="B1938" i="1"/>
  <c r="A1939" i="1"/>
  <c r="B1939" i="1"/>
  <c r="A1940" i="1"/>
  <c r="B1940" i="1"/>
  <c r="A1941" i="1"/>
  <c r="B1941" i="1"/>
  <c r="A1942" i="1"/>
  <c r="B1942" i="1"/>
  <c r="A1943" i="1"/>
  <c r="B1943" i="1"/>
  <c r="A1944" i="1"/>
  <c r="B1944" i="1"/>
  <c r="A1945" i="1"/>
  <c r="B1945" i="1"/>
  <c r="A1946" i="1"/>
  <c r="B1946" i="1"/>
  <c r="A1947" i="1"/>
  <c r="B1947" i="1"/>
  <c r="A1948" i="1"/>
  <c r="A1949" i="1"/>
  <c r="A1950" i="1"/>
  <c r="A1951" i="1"/>
  <c r="A1952" i="1"/>
  <c r="B1952" i="1"/>
  <c r="A1953" i="1"/>
  <c r="B1953" i="1"/>
  <c r="A1954" i="1"/>
  <c r="B1954" i="1"/>
  <c r="A1955" i="1"/>
  <c r="B1955" i="1"/>
  <c r="A1956" i="1"/>
  <c r="B1956" i="1"/>
  <c r="A1957" i="1"/>
  <c r="B1957" i="1"/>
  <c r="A1958" i="1"/>
  <c r="B1958" i="1"/>
  <c r="A1959" i="1"/>
  <c r="B1959" i="1"/>
  <c r="A1960" i="1"/>
  <c r="B1960" i="1"/>
  <c r="A1961" i="1"/>
  <c r="B1961" i="1"/>
  <c r="A1962" i="1"/>
  <c r="B1962" i="1"/>
  <c r="A1963" i="1"/>
  <c r="B1963" i="1"/>
  <c r="A1964" i="1"/>
  <c r="B1964" i="1"/>
  <c r="A1965" i="1"/>
  <c r="B1965" i="1"/>
  <c r="A1966" i="1"/>
  <c r="B1966" i="1"/>
  <c r="A1967" i="1"/>
  <c r="A1968" i="1"/>
  <c r="B1968" i="1"/>
  <c r="A1969" i="1"/>
  <c r="B1969" i="1"/>
  <c r="A1970" i="1"/>
  <c r="B1970" i="1"/>
  <c r="A1971" i="1"/>
  <c r="B1971" i="1"/>
  <c r="A1972" i="1"/>
  <c r="B1972" i="1"/>
  <c r="A1973" i="1"/>
  <c r="B1973" i="1"/>
  <c r="A1974" i="1"/>
  <c r="B1974" i="1"/>
  <c r="A1975" i="1"/>
  <c r="A1976" i="1"/>
  <c r="A1977" i="1"/>
  <c r="B1977" i="1"/>
  <c r="A1978" i="1"/>
  <c r="B1978" i="1"/>
  <c r="A1979" i="1"/>
  <c r="B1979" i="1"/>
  <c r="A1980" i="1"/>
  <c r="A1981" i="1"/>
  <c r="B1981" i="1"/>
  <c r="A1982" i="1"/>
  <c r="B1982" i="1"/>
  <c r="A1983" i="1"/>
  <c r="B1983" i="1"/>
  <c r="A1984" i="1"/>
  <c r="B1984" i="1"/>
  <c r="A1985" i="1"/>
  <c r="B1985" i="1"/>
  <c r="A1986" i="1"/>
  <c r="B1986" i="1"/>
  <c r="A1987" i="1"/>
  <c r="A1988" i="1"/>
  <c r="B1988" i="1"/>
  <c r="A1989" i="1"/>
  <c r="B1989" i="1"/>
  <c r="A1990" i="1"/>
  <c r="B1990" i="1"/>
  <c r="A1991" i="1"/>
  <c r="B1991" i="1"/>
  <c r="A1992" i="1"/>
  <c r="B1992" i="1"/>
  <c r="A1993" i="1"/>
  <c r="B1993" i="1"/>
  <c r="A1994" i="1"/>
  <c r="B1994" i="1"/>
  <c r="A1995" i="1"/>
  <c r="B1995" i="1"/>
  <c r="A1996" i="1"/>
  <c r="A1997" i="1"/>
  <c r="B1997" i="1"/>
  <c r="A1998" i="1"/>
  <c r="B1998" i="1"/>
  <c r="A1999" i="1"/>
  <c r="B1999" i="1"/>
  <c r="A2000" i="1"/>
  <c r="B2000" i="1"/>
  <c r="A2001" i="1"/>
  <c r="A2002" i="1"/>
  <c r="B2002" i="1"/>
  <c r="A2003" i="1"/>
  <c r="B2003" i="1"/>
  <c r="A2004" i="1"/>
  <c r="B2004" i="1"/>
  <c r="A2005" i="1"/>
  <c r="B2005" i="1"/>
  <c r="A2006" i="1"/>
  <c r="B2006" i="1"/>
  <c r="A2007" i="1"/>
  <c r="A2008" i="1"/>
  <c r="A2009" i="1"/>
  <c r="B2009" i="1"/>
  <c r="A2010" i="1"/>
  <c r="B2010" i="1"/>
  <c r="A2011" i="1"/>
  <c r="B2011" i="1"/>
  <c r="A2012" i="1"/>
  <c r="B2012" i="1"/>
  <c r="A2013" i="1"/>
  <c r="B2013" i="1"/>
  <c r="A2014" i="1"/>
  <c r="B2014" i="1"/>
  <c r="A2015" i="1"/>
  <c r="B2015" i="1"/>
  <c r="A2016" i="1"/>
  <c r="A2017" i="1"/>
  <c r="B2017" i="1"/>
  <c r="A2018" i="1"/>
  <c r="B2018" i="1"/>
  <c r="A2019" i="1"/>
  <c r="B2019" i="1"/>
  <c r="A2020" i="1"/>
  <c r="B2020" i="1"/>
  <c r="A2021" i="1"/>
  <c r="B2021" i="1"/>
  <c r="A2022" i="1"/>
  <c r="A2023" i="1"/>
  <c r="B2023" i="1"/>
  <c r="A2024" i="1"/>
  <c r="B2024" i="1"/>
  <c r="A2025" i="1"/>
  <c r="B2025" i="1"/>
  <c r="A2026" i="1"/>
  <c r="B2026" i="1"/>
  <c r="A2027" i="1"/>
  <c r="B2027" i="1"/>
  <c r="A2028" i="1"/>
  <c r="B2028" i="1"/>
  <c r="A2029" i="1"/>
  <c r="B2029" i="1"/>
  <c r="A2030" i="1"/>
  <c r="B2030" i="1"/>
  <c r="A2031" i="1"/>
  <c r="B2031" i="1"/>
  <c r="A2032" i="1"/>
  <c r="B2032" i="1"/>
  <c r="A2033" i="1"/>
  <c r="B2033" i="1"/>
  <c r="A2034" i="1"/>
  <c r="B2034" i="1"/>
  <c r="A2035" i="1"/>
  <c r="A2036" i="1"/>
  <c r="A2037" i="1"/>
  <c r="B2037" i="1"/>
  <c r="A2038" i="1"/>
  <c r="B2038" i="1"/>
  <c r="A2039" i="1"/>
  <c r="B2039" i="1"/>
  <c r="A2040" i="1"/>
  <c r="B2040" i="1"/>
  <c r="A2041" i="1"/>
  <c r="B2041" i="1"/>
  <c r="A2042" i="1"/>
  <c r="B2042" i="1"/>
  <c r="A2043" i="1"/>
  <c r="B2043" i="1"/>
  <c r="A2044" i="1"/>
  <c r="A2045" i="1"/>
  <c r="A2046" i="1"/>
  <c r="A2047" i="1"/>
  <c r="A2048" i="1"/>
  <c r="A2049" i="1"/>
  <c r="B2049" i="1"/>
  <c r="A2050" i="1"/>
  <c r="A2051" i="1"/>
  <c r="B2051" i="1"/>
  <c r="A2052" i="1"/>
  <c r="A2053" i="1"/>
  <c r="A2054" i="1"/>
  <c r="A2055" i="1"/>
  <c r="B2055" i="1"/>
  <c r="A2056" i="1"/>
  <c r="A2057" i="1"/>
  <c r="B2057" i="1"/>
  <c r="A2058" i="1"/>
  <c r="B2058" i="1"/>
  <c r="A2059" i="1"/>
  <c r="B2059" i="1"/>
  <c r="A2060" i="1"/>
  <c r="A2061" i="1"/>
  <c r="B2061" i="1"/>
  <c r="A2062" i="1"/>
  <c r="A2063" i="1"/>
  <c r="B2063" i="1"/>
  <c r="A2064" i="1"/>
  <c r="B2064" i="1"/>
  <c r="A2065" i="1"/>
  <c r="B2065" i="1"/>
  <c r="A2066" i="1"/>
  <c r="B2066" i="1"/>
  <c r="A2067" i="1"/>
  <c r="B2067" i="1"/>
  <c r="A2068" i="1"/>
  <c r="B2068" i="1"/>
  <c r="A2069" i="1"/>
  <c r="B2069" i="1"/>
  <c r="A2070" i="1"/>
  <c r="B2070" i="1"/>
  <c r="A2071" i="1"/>
  <c r="B2071" i="1"/>
  <c r="A2072" i="1"/>
  <c r="A2073" i="1"/>
  <c r="A2074" i="1"/>
  <c r="B2074" i="1"/>
  <c r="A2075" i="1"/>
  <c r="A2076" i="1"/>
  <c r="A2077" i="1"/>
  <c r="B2077" i="1"/>
  <c r="A2078" i="1"/>
  <c r="A2079" i="1"/>
  <c r="A2080" i="1"/>
  <c r="A2081" i="1"/>
  <c r="B2081" i="1"/>
  <c r="A2082" i="1"/>
  <c r="A2083" i="1"/>
  <c r="A2084" i="1"/>
  <c r="A2085" i="1"/>
  <c r="A2086" i="1"/>
  <c r="B2086" i="1"/>
  <c r="A2087" i="1"/>
  <c r="B2087" i="1"/>
  <c r="A2088" i="1"/>
  <c r="A2089" i="1"/>
  <c r="B2089" i="1"/>
  <c r="A2090" i="1"/>
  <c r="A2091" i="1"/>
  <c r="A2092" i="1"/>
  <c r="B2092" i="1"/>
  <c r="A2093" i="1"/>
  <c r="A2094" i="1"/>
  <c r="B2094" i="1"/>
  <c r="A2095" i="1"/>
  <c r="A2096" i="1"/>
  <c r="B2096" i="1"/>
  <c r="A2097" i="1"/>
  <c r="A2098" i="1"/>
  <c r="A2099" i="1"/>
  <c r="A2100" i="1"/>
  <c r="A2101" i="1"/>
  <c r="A2102" i="1"/>
  <c r="A2103" i="1"/>
  <c r="B2103" i="1"/>
  <c r="A2104" i="1"/>
  <c r="B2104" i="1"/>
  <c r="A2105" i="1"/>
  <c r="B2105" i="1"/>
  <c r="A2106" i="1"/>
  <c r="B2106" i="1"/>
  <c r="A2107" i="1"/>
  <c r="B2107" i="1"/>
  <c r="A2108" i="1"/>
  <c r="B2108" i="1"/>
  <c r="A2109" i="1"/>
  <c r="A2110" i="1"/>
  <c r="A2111" i="1"/>
  <c r="A2112" i="1"/>
  <c r="B2112" i="1"/>
  <c r="A2113" i="1"/>
  <c r="A2114" i="1"/>
  <c r="A2115" i="1"/>
  <c r="B2115" i="1"/>
  <c r="A2116" i="1"/>
  <c r="B2116" i="1"/>
  <c r="A2117" i="1"/>
  <c r="B2117" i="1"/>
  <c r="A2118" i="1"/>
  <c r="B2118" i="1"/>
  <c r="A2119" i="1"/>
  <c r="A2120" i="1"/>
  <c r="B2120" i="1"/>
  <c r="A2121" i="1"/>
  <c r="B2121" i="1"/>
  <c r="A2122" i="1"/>
  <c r="B2122" i="1"/>
  <c r="A2123" i="1"/>
  <c r="A2124" i="1"/>
  <c r="A2125" i="1"/>
  <c r="A2126" i="1"/>
  <c r="A2127" i="1"/>
  <c r="A2128" i="1"/>
  <c r="A2129" i="1"/>
  <c r="B2129" i="1"/>
  <c r="A2130" i="1"/>
  <c r="A2131" i="1"/>
  <c r="B2131" i="1"/>
  <c r="A2132" i="1"/>
  <c r="B2132" i="1"/>
  <c r="A2133" i="1"/>
  <c r="B2133" i="1"/>
  <c r="A2134" i="1"/>
  <c r="B2134" i="1"/>
  <c r="A2135" i="1"/>
  <c r="B2135" i="1"/>
  <c r="A2136" i="1"/>
  <c r="B2136" i="1"/>
  <c r="A2137" i="1"/>
  <c r="B2137" i="1"/>
  <c r="A2138" i="1"/>
  <c r="B2138" i="1"/>
  <c r="A2139" i="1"/>
  <c r="B2139" i="1"/>
  <c r="A2140" i="1"/>
  <c r="A2141" i="1"/>
  <c r="B2141" i="1"/>
  <c r="A2142" i="1"/>
  <c r="B2142" i="1"/>
  <c r="A2143" i="1"/>
  <c r="A2144" i="1"/>
  <c r="B2144" i="1"/>
  <c r="A2145" i="1"/>
  <c r="B2145" i="1"/>
  <c r="A2146" i="1"/>
  <c r="B2146" i="1"/>
  <c r="A2147" i="1"/>
  <c r="B2147" i="1"/>
  <c r="A2148" i="1"/>
  <c r="B2148" i="1"/>
  <c r="A2149" i="1"/>
  <c r="B2149" i="1"/>
  <c r="A2150" i="1"/>
  <c r="B2150" i="1"/>
  <c r="A2151" i="1"/>
  <c r="B2151" i="1"/>
  <c r="A2152" i="1"/>
  <c r="A2153" i="1"/>
  <c r="B2153" i="1"/>
  <c r="A2154" i="1"/>
  <c r="A2155" i="1"/>
  <c r="B2155" i="1"/>
  <c r="A2156" i="1"/>
  <c r="B2156" i="1"/>
  <c r="A2157" i="1"/>
  <c r="B2157" i="1"/>
  <c r="A2158" i="1"/>
  <c r="A2159" i="1"/>
  <c r="A2160" i="1"/>
  <c r="B2160" i="1"/>
  <c r="A2161" i="1"/>
  <c r="B2161" i="1"/>
  <c r="A2162" i="1"/>
  <c r="B2162" i="1"/>
  <c r="A2163" i="1"/>
  <c r="B2163" i="1"/>
  <c r="A2164" i="1"/>
  <c r="B2164" i="1"/>
  <c r="A2165" i="1"/>
  <c r="B2165" i="1"/>
  <c r="A2166" i="1"/>
  <c r="A2167" i="1"/>
  <c r="B2167" i="1"/>
  <c r="A2168" i="1"/>
  <c r="B2168" i="1"/>
  <c r="A2169" i="1"/>
  <c r="B2169" i="1"/>
  <c r="A2170" i="1"/>
  <c r="B2170" i="1"/>
  <c r="A2171" i="1"/>
  <c r="B2171" i="1"/>
  <c r="A2172" i="1"/>
  <c r="B2172" i="1"/>
  <c r="A2173" i="1"/>
  <c r="B2173" i="1"/>
  <c r="A2174" i="1"/>
  <c r="A2175" i="1"/>
  <c r="B2175" i="1"/>
  <c r="A2176" i="1"/>
  <c r="B2176" i="1"/>
  <c r="A2177" i="1"/>
  <c r="B2177" i="1"/>
  <c r="A2178" i="1"/>
  <c r="A2179" i="1"/>
  <c r="B2179" i="1"/>
  <c r="A2180" i="1"/>
  <c r="B2180" i="1"/>
  <c r="A2181" i="1"/>
  <c r="B2181" i="1"/>
  <c r="A2182" i="1"/>
  <c r="B2182" i="1"/>
  <c r="A2183" i="1"/>
  <c r="B2183" i="1"/>
  <c r="A2184" i="1"/>
  <c r="B2184" i="1"/>
  <c r="A2185" i="1"/>
  <c r="A2186" i="1"/>
  <c r="A2187" i="1"/>
  <c r="A2188" i="1"/>
  <c r="B2188" i="1"/>
  <c r="A2189" i="1"/>
  <c r="B2189" i="1"/>
  <c r="A2190" i="1"/>
  <c r="A2191" i="1"/>
  <c r="A2192" i="1"/>
  <c r="A2193" i="1"/>
  <c r="A2194" i="1"/>
  <c r="B2194" i="1"/>
  <c r="A2195" i="1"/>
  <c r="A2196" i="1"/>
  <c r="B2196" i="1"/>
  <c r="A2197" i="1"/>
  <c r="B2197" i="1"/>
  <c r="A2198" i="1"/>
  <c r="B2198" i="1"/>
  <c r="A2199" i="1"/>
  <c r="B2199" i="1"/>
  <c r="A2200" i="1"/>
  <c r="B2200" i="1"/>
  <c r="A2201" i="1"/>
  <c r="B2201" i="1"/>
  <c r="A2202" i="1"/>
  <c r="B2202" i="1"/>
  <c r="A2203" i="1"/>
  <c r="B2203" i="1"/>
  <c r="A2204" i="1"/>
  <c r="B2204" i="1"/>
  <c r="A2205" i="1"/>
  <c r="B2205" i="1"/>
  <c r="A2206" i="1"/>
  <c r="B2206" i="1"/>
  <c r="A2207" i="1"/>
  <c r="B2207" i="1"/>
  <c r="A2208" i="1"/>
  <c r="B2208" i="1"/>
  <c r="A2209" i="1"/>
  <c r="B2209" i="1"/>
  <c r="A2210" i="1"/>
  <c r="B2210" i="1"/>
  <c r="A2211" i="1"/>
  <c r="A2212" i="1"/>
  <c r="B2212" i="1"/>
  <c r="A2213" i="1"/>
  <c r="A2214" i="1"/>
  <c r="B2214" i="1"/>
  <c r="A2215" i="1"/>
  <c r="B2215" i="1"/>
  <c r="A2216" i="1"/>
  <c r="B2216" i="1"/>
  <c r="A2217" i="1"/>
  <c r="B2217" i="1"/>
  <c r="A2218" i="1"/>
  <c r="B2218" i="1"/>
  <c r="A2219" i="1"/>
  <c r="B2219" i="1"/>
  <c r="A2220" i="1"/>
  <c r="A2221" i="1"/>
  <c r="B2221" i="1"/>
  <c r="A2222" i="1"/>
  <c r="B2222" i="1"/>
  <c r="A2223" i="1"/>
  <c r="A2224" i="1"/>
  <c r="B2224" i="1"/>
  <c r="A2225" i="1"/>
  <c r="B2225" i="1"/>
  <c r="A2226" i="1"/>
  <c r="B2226" i="1"/>
  <c r="A2227" i="1"/>
  <c r="B2227" i="1"/>
  <c r="A2228" i="1"/>
  <c r="B2228" i="1"/>
  <c r="A2229" i="1"/>
  <c r="B2229" i="1"/>
  <c r="A2230" i="1"/>
  <c r="B2230" i="1"/>
  <c r="A2231" i="1"/>
  <c r="B2231" i="1"/>
  <c r="A2232" i="1"/>
  <c r="B2232" i="1"/>
  <c r="A2233" i="1"/>
  <c r="B2233" i="1"/>
  <c r="A2234" i="1"/>
  <c r="B2234" i="1"/>
  <c r="A2235" i="1"/>
  <c r="B2235" i="1"/>
  <c r="A2236" i="1"/>
  <c r="A2237" i="1"/>
  <c r="A2238" i="1"/>
  <c r="B2238" i="1"/>
  <c r="A2239" i="1"/>
  <c r="A2240" i="1"/>
  <c r="B2240" i="1"/>
  <c r="A2241" i="1"/>
  <c r="B2241" i="1"/>
  <c r="A2242" i="1"/>
  <c r="B2242" i="1"/>
  <c r="A2243" i="1"/>
  <c r="B2243" i="1"/>
  <c r="A2244" i="1"/>
  <c r="B2244" i="1"/>
  <c r="A2245" i="1"/>
  <c r="B2245" i="1"/>
  <c r="A2246" i="1"/>
  <c r="B2246" i="1"/>
  <c r="A2247" i="1"/>
  <c r="B2247" i="1"/>
  <c r="A2248" i="1"/>
  <c r="A2249" i="1"/>
  <c r="B2249" i="1"/>
  <c r="A2250" i="1"/>
  <c r="B2250" i="1"/>
  <c r="A2251" i="1"/>
  <c r="B2251" i="1"/>
  <c r="A2252" i="1"/>
  <c r="B2252" i="1"/>
  <c r="A2253" i="1"/>
  <c r="B2253" i="1"/>
  <c r="A2254" i="1"/>
  <c r="B2254" i="1"/>
  <c r="A2255" i="1"/>
  <c r="B2255" i="1"/>
  <c r="A2256" i="1"/>
  <c r="B2256" i="1"/>
  <c r="A2257" i="1"/>
  <c r="B2257" i="1"/>
  <c r="A2258" i="1"/>
  <c r="A2259" i="1"/>
  <c r="B2259" i="1"/>
  <c r="A2260" i="1"/>
  <c r="B2260" i="1"/>
  <c r="A2261" i="1"/>
  <c r="B2261" i="1"/>
  <c r="A2262" i="1"/>
  <c r="A2263" i="1"/>
  <c r="B2263" i="1"/>
  <c r="A2264" i="1"/>
  <c r="B2264" i="1"/>
  <c r="A2265" i="1"/>
  <c r="B2265" i="1"/>
  <c r="A2266" i="1"/>
  <c r="B2266" i="1"/>
  <c r="A2267" i="1"/>
  <c r="B2267" i="1"/>
  <c r="A2268" i="1"/>
  <c r="B2268" i="1"/>
  <c r="A2269" i="1"/>
  <c r="B2269" i="1"/>
  <c r="A2270" i="1"/>
  <c r="B2270" i="1"/>
  <c r="A2271" i="1"/>
  <c r="A2272" i="1"/>
  <c r="A2273" i="1"/>
  <c r="B2273" i="1"/>
  <c r="A2274" i="1"/>
  <c r="A2275" i="1"/>
  <c r="B2275" i="1"/>
  <c r="A2276" i="1"/>
  <c r="B2276" i="1"/>
  <c r="A2277" i="1"/>
  <c r="B2277" i="1"/>
  <c r="A2278" i="1"/>
  <c r="B2278" i="1"/>
  <c r="A2279" i="1"/>
  <c r="B2279" i="1"/>
  <c r="A2280" i="1"/>
  <c r="B2280" i="1"/>
  <c r="A2281" i="1"/>
  <c r="B2281" i="1"/>
  <c r="A2282" i="1"/>
  <c r="A2283" i="1"/>
  <c r="A2284" i="1"/>
  <c r="B2284" i="1"/>
  <c r="A2285" i="1"/>
  <c r="B2285" i="1"/>
  <c r="A2286" i="1"/>
  <c r="B2286" i="1"/>
  <c r="A2287" i="1"/>
  <c r="B2287" i="1"/>
  <c r="A2288" i="1"/>
  <c r="B2288" i="1"/>
  <c r="A2289" i="1"/>
  <c r="B2289" i="1"/>
  <c r="A2290" i="1"/>
  <c r="B2290" i="1"/>
  <c r="A2291" i="1"/>
  <c r="A2292" i="1"/>
  <c r="B2292" i="1"/>
  <c r="A2293" i="1"/>
  <c r="A2294" i="1"/>
  <c r="A2295" i="1"/>
  <c r="A2296" i="1"/>
  <c r="B2296" i="1"/>
  <c r="A2297" i="1"/>
  <c r="B2297" i="1"/>
  <c r="A2298" i="1"/>
  <c r="B2298" i="1"/>
  <c r="A2299" i="1"/>
  <c r="B2299" i="1"/>
  <c r="A2300" i="1"/>
  <c r="B2300" i="1"/>
  <c r="A2301" i="1"/>
  <c r="B2301" i="1"/>
  <c r="A2302" i="1"/>
  <c r="B2302" i="1"/>
  <c r="A2303" i="1"/>
  <c r="A2304" i="1"/>
  <c r="B2304" i="1"/>
  <c r="A2305" i="1"/>
  <c r="B2305" i="1"/>
  <c r="A2306" i="1"/>
  <c r="B2306" i="1"/>
  <c r="A2307" i="1"/>
  <c r="B2307" i="1"/>
  <c r="A2308" i="1"/>
  <c r="A2309" i="1"/>
  <c r="B2309" i="1"/>
  <c r="A2310" i="1"/>
  <c r="B2310" i="1"/>
  <c r="A2311" i="1"/>
  <c r="B2311" i="1"/>
  <c r="A2312" i="1"/>
  <c r="B2312" i="1"/>
  <c r="A2313" i="1"/>
  <c r="B2313" i="1"/>
  <c r="A2314" i="1"/>
  <c r="B2314" i="1"/>
  <c r="A2315" i="1"/>
  <c r="B2315" i="1"/>
  <c r="A2316" i="1"/>
  <c r="B2316" i="1"/>
  <c r="A2317" i="1"/>
  <c r="B2317" i="1"/>
  <c r="A2318" i="1"/>
  <c r="B2318" i="1"/>
  <c r="A2319" i="1"/>
  <c r="A2320" i="1"/>
  <c r="B2320" i="1"/>
  <c r="A2321" i="1"/>
  <c r="A2322" i="1"/>
  <c r="B2322" i="1"/>
  <c r="A2323" i="1"/>
  <c r="B2323" i="1"/>
  <c r="A2324" i="1"/>
  <c r="A2325" i="1"/>
  <c r="B2325" i="1"/>
  <c r="A2326" i="1"/>
  <c r="B2326" i="1"/>
  <c r="A2327" i="1"/>
  <c r="B2327" i="1"/>
  <c r="A2328" i="1"/>
  <c r="B2328" i="1"/>
  <c r="A2329" i="1"/>
  <c r="B2329" i="1"/>
  <c r="A2330" i="1"/>
  <c r="B2330" i="1"/>
  <c r="A2331" i="1"/>
  <c r="B2331" i="1"/>
  <c r="A2332" i="1"/>
  <c r="B2332" i="1"/>
  <c r="A2333" i="1"/>
  <c r="B2333" i="1"/>
  <c r="A2334" i="1"/>
  <c r="B2334" i="1"/>
  <c r="A2335" i="1"/>
  <c r="B2335" i="1"/>
  <c r="A2336" i="1"/>
  <c r="B2336" i="1"/>
  <c r="A2337" i="1"/>
  <c r="B2337" i="1"/>
  <c r="A2338" i="1"/>
  <c r="B2338" i="1"/>
  <c r="A2339" i="1"/>
  <c r="B2339" i="1"/>
  <c r="A2340" i="1"/>
  <c r="A2341" i="1"/>
  <c r="B2341" i="1"/>
  <c r="A2342" i="1"/>
  <c r="B2342" i="1"/>
  <c r="A2343" i="1"/>
  <c r="A2344" i="1"/>
  <c r="B2344" i="1"/>
  <c r="A2345" i="1"/>
  <c r="A2346" i="1"/>
  <c r="B2346" i="1"/>
  <c r="A2347" i="1"/>
  <c r="A2348" i="1"/>
  <c r="B2348" i="1"/>
  <c r="A2349" i="1"/>
  <c r="A2350" i="1"/>
  <c r="B2350" i="1"/>
  <c r="A2351" i="1"/>
  <c r="B2351" i="1"/>
  <c r="A2352" i="1"/>
  <c r="B2352" i="1"/>
  <c r="A2353" i="1"/>
  <c r="B2353" i="1"/>
  <c r="A2354" i="1"/>
  <c r="A2355" i="1"/>
  <c r="A2356" i="1"/>
  <c r="A2357" i="1"/>
  <c r="B2357" i="1"/>
  <c r="A2358" i="1"/>
  <c r="B2358" i="1"/>
  <c r="A2359" i="1"/>
  <c r="B2359" i="1"/>
  <c r="A2360" i="1"/>
  <c r="B2360" i="1"/>
  <c r="A2361" i="1"/>
  <c r="B2361" i="1"/>
  <c r="A2362" i="1"/>
  <c r="B2362" i="1"/>
  <c r="A2363" i="1"/>
  <c r="B2363" i="1"/>
  <c r="A2364" i="1"/>
  <c r="B2364" i="1"/>
  <c r="A2365" i="1"/>
  <c r="B2365" i="1"/>
  <c r="A2366" i="1"/>
  <c r="B2366" i="1"/>
  <c r="A2367" i="1"/>
  <c r="A2368" i="1"/>
  <c r="A2369" i="1"/>
  <c r="B2369" i="1"/>
  <c r="A2370" i="1"/>
  <c r="B2370" i="1"/>
  <c r="A2371" i="1"/>
  <c r="B2371" i="1"/>
  <c r="A2372" i="1"/>
  <c r="B2372" i="1"/>
  <c r="A2373" i="1"/>
  <c r="B2373" i="1"/>
  <c r="A2374" i="1"/>
  <c r="A2375" i="1"/>
  <c r="B2375" i="1"/>
  <c r="A2376" i="1"/>
  <c r="A2377" i="1"/>
  <c r="B2377" i="1"/>
  <c r="A2378" i="1"/>
  <c r="B2378" i="1"/>
  <c r="A2379" i="1"/>
  <c r="B2379" i="1"/>
  <c r="A2380" i="1"/>
  <c r="B2380" i="1"/>
  <c r="A2381" i="1"/>
  <c r="B2381" i="1"/>
  <c r="A2382" i="1"/>
  <c r="A2383" i="1"/>
  <c r="A2384" i="1"/>
  <c r="B2384" i="1"/>
  <c r="A2385" i="1"/>
  <c r="B2385" i="1"/>
  <c r="A2386" i="1"/>
  <c r="B2386" i="1"/>
  <c r="A2387" i="1"/>
  <c r="B2387" i="1"/>
  <c r="A2388" i="1"/>
  <c r="B2388" i="1"/>
  <c r="A2389" i="1"/>
  <c r="A2390" i="1"/>
  <c r="B2390" i="1"/>
  <c r="A2391" i="1"/>
  <c r="B2391" i="1"/>
  <c r="A2392" i="1"/>
  <c r="B2392" i="1"/>
  <c r="A2393" i="1"/>
  <c r="A2394" i="1"/>
  <c r="A2395" i="1"/>
  <c r="A2396" i="1"/>
  <c r="B2396" i="1"/>
  <c r="A2397" i="1"/>
  <c r="B2397" i="1"/>
  <c r="A2398" i="1"/>
  <c r="B2398" i="1"/>
  <c r="A2399" i="1"/>
  <c r="B2399" i="1"/>
  <c r="A2400" i="1"/>
  <c r="B2400" i="1"/>
  <c r="A2401" i="1"/>
  <c r="B2401" i="1"/>
  <c r="A2402" i="1"/>
  <c r="B2402" i="1"/>
  <c r="A2403" i="1"/>
  <c r="B2403" i="1"/>
  <c r="A2404" i="1"/>
  <c r="B2404" i="1"/>
  <c r="A2405" i="1"/>
  <c r="A2406" i="1"/>
  <c r="B2406" i="1"/>
  <c r="A2407" i="1"/>
  <c r="B2407" i="1"/>
  <c r="A2408" i="1"/>
  <c r="B2408" i="1"/>
  <c r="A2409" i="1"/>
  <c r="B2409" i="1"/>
  <c r="A2410" i="1"/>
  <c r="B2410" i="1"/>
  <c r="A2411" i="1"/>
  <c r="B2411" i="1"/>
  <c r="A2412" i="1"/>
  <c r="B2412" i="1"/>
  <c r="A2413" i="1"/>
  <c r="A2414" i="1"/>
  <c r="B2414" i="1"/>
  <c r="A2415" i="1"/>
  <c r="B2415" i="1"/>
  <c r="A2416" i="1"/>
  <c r="B2416" i="1"/>
  <c r="A2417" i="1"/>
  <c r="A2418" i="1"/>
  <c r="B2418" i="1"/>
  <c r="A2419" i="1"/>
  <c r="B2419" i="1"/>
  <c r="A2420" i="1"/>
  <c r="B2420" i="1"/>
  <c r="A2421" i="1"/>
  <c r="B2421" i="1"/>
  <c r="A2422" i="1"/>
  <c r="B2422" i="1"/>
  <c r="A2423" i="1"/>
  <c r="B2423" i="1"/>
  <c r="A2424" i="1"/>
  <c r="B2424" i="1"/>
  <c r="A2425" i="1"/>
  <c r="B2425" i="1"/>
  <c r="A2426" i="1"/>
  <c r="B2426" i="1"/>
  <c r="A2427" i="1"/>
  <c r="B2427" i="1"/>
  <c r="A2428" i="1"/>
  <c r="A2429" i="1"/>
  <c r="B2429" i="1"/>
  <c r="A2430" i="1"/>
  <c r="A2431" i="1"/>
  <c r="B2431" i="1"/>
  <c r="A2432" i="1"/>
  <c r="B2432" i="1"/>
  <c r="A2433" i="1"/>
  <c r="B2433" i="1"/>
  <c r="A2434" i="1"/>
  <c r="B2434" i="1"/>
  <c r="A2435" i="1"/>
  <c r="B2435" i="1"/>
  <c r="A2436" i="1"/>
  <c r="B2436" i="1"/>
  <c r="A2437" i="1"/>
  <c r="B2437" i="1"/>
  <c r="A2438" i="1"/>
  <c r="B2438" i="1"/>
  <c r="A2439" i="1"/>
  <c r="B2439" i="1"/>
  <c r="A2440" i="1"/>
  <c r="B2440" i="1"/>
  <c r="A2441" i="1"/>
  <c r="B2441" i="1"/>
  <c r="A2442" i="1"/>
  <c r="B2442" i="1"/>
  <c r="A2443" i="1"/>
  <c r="B2443" i="1"/>
  <c r="A2444" i="1"/>
  <c r="B2444" i="1"/>
  <c r="A2445" i="1"/>
  <c r="B2445" i="1"/>
  <c r="A2446" i="1"/>
  <c r="B2446" i="1"/>
  <c r="A2447" i="1"/>
  <c r="B2447" i="1"/>
  <c r="A2448" i="1"/>
  <c r="B2448" i="1"/>
  <c r="A2449" i="1"/>
  <c r="A2450" i="1"/>
  <c r="B2450" i="1"/>
  <c r="A2451" i="1"/>
  <c r="B2451" i="1"/>
  <c r="A2452" i="1"/>
  <c r="B2452" i="1"/>
  <c r="A2453" i="1"/>
  <c r="B2453" i="1"/>
  <c r="A2454" i="1"/>
  <c r="B2454" i="1"/>
  <c r="A2455" i="1"/>
  <c r="B2455" i="1"/>
  <c r="A2456" i="1"/>
  <c r="A2457" i="1"/>
  <c r="B2457" i="1"/>
  <c r="A2458" i="1"/>
  <c r="B2458" i="1"/>
  <c r="A2459" i="1"/>
  <c r="B2459" i="1"/>
  <c r="A2460" i="1"/>
  <c r="B2460" i="1"/>
  <c r="A2461" i="1"/>
  <c r="B2461" i="1"/>
  <c r="A2462" i="1"/>
  <c r="A2463" i="1"/>
  <c r="B2463" i="1"/>
  <c r="A2464" i="1"/>
  <c r="B2464" i="1"/>
  <c r="A2465" i="1"/>
  <c r="B2465" i="1"/>
  <c r="A2466" i="1"/>
  <c r="A2467" i="1"/>
  <c r="A2468" i="1"/>
  <c r="A2469" i="1"/>
  <c r="B2469" i="1"/>
  <c r="A2470" i="1"/>
  <c r="B2470" i="1"/>
  <c r="A2471" i="1"/>
  <c r="B2471" i="1"/>
  <c r="A2472" i="1"/>
  <c r="A2473" i="1"/>
  <c r="B2473" i="1"/>
  <c r="A2474" i="1"/>
  <c r="B2474" i="1"/>
  <c r="A2475" i="1"/>
  <c r="B2475" i="1"/>
  <c r="A2476" i="1"/>
  <c r="B2476" i="1"/>
  <c r="A2477" i="1"/>
  <c r="A2478" i="1"/>
  <c r="A2479" i="1"/>
  <c r="A2480" i="1"/>
  <c r="B2480" i="1"/>
  <c r="A2481" i="1"/>
  <c r="B2481" i="1"/>
  <c r="A2482" i="1"/>
  <c r="B2482" i="1"/>
  <c r="A2483" i="1"/>
  <c r="A2484" i="1"/>
  <c r="B2484" i="1"/>
  <c r="A2485" i="1"/>
  <c r="B2485" i="1"/>
  <c r="A2486" i="1"/>
  <c r="B2486" i="1"/>
  <c r="A2487" i="1"/>
  <c r="B2487" i="1"/>
  <c r="A2488" i="1"/>
  <c r="B2488" i="1"/>
  <c r="A2489" i="1"/>
  <c r="A2490" i="1"/>
  <c r="A2491" i="1"/>
  <c r="B2491" i="1"/>
  <c r="A2492" i="1"/>
  <c r="B2492" i="1"/>
  <c r="A2493" i="1"/>
  <c r="B2493" i="1"/>
  <c r="A2494" i="1"/>
  <c r="B2494" i="1"/>
  <c r="A2495" i="1"/>
  <c r="B2495" i="1"/>
  <c r="A2496" i="1"/>
  <c r="A2497" i="1"/>
  <c r="B2497" i="1"/>
  <c r="A2498" i="1"/>
  <c r="A2499" i="1"/>
  <c r="B2499" i="1"/>
  <c r="A2500" i="1"/>
  <c r="B2500" i="1"/>
  <c r="A2501" i="1"/>
  <c r="B2501" i="1"/>
  <c r="A2502" i="1"/>
  <c r="A2503" i="1"/>
  <c r="B2503" i="1"/>
  <c r="A2504" i="1"/>
  <c r="B2504" i="1"/>
  <c r="A2505" i="1"/>
  <c r="B2505" i="1"/>
  <c r="A2506" i="1"/>
  <c r="B2506" i="1"/>
  <c r="A2507" i="1"/>
  <c r="B2507" i="1"/>
  <c r="A2508" i="1"/>
  <c r="B2508" i="1"/>
  <c r="A2509" i="1"/>
  <c r="B2509" i="1"/>
  <c r="A2510" i="1"/>
  <c r="A2511" i="1"/>
  <c r="B2511" i="1"/>
  <c r="A2512" i="1"/>
  <c r="B2512" i="1"/>
  <c r="A2513" i="1"/>
  <c r="B2513" i="1"/>
  <c r="A2514" i="1"/>
  <c r="A2515" i="1"/>
  <c r="B2515" i="1"/>
  <c r="A2516" i="1"/>
  <c r="B2516" i="1"/>
  <c r="A2517" i="1"/>
  <c r="B2517" i="1"/>
  <c r="A2518" i="1"/>
  <c r="B2518" i="1"/>
  <c r="A2519" i="1"/>
  <c r="B2519" i="1"/>
  <c r="A2520" i="1"/>
  <c r="B2520" i="1"/>
  <c r="A2521" i="1"/>
  <c r="B2521" i="1"/>
  <c r="A2522" i="1"/>
  <c r="B2522" i="1"/>
  <c r="A2523" i="1"/>
  <c r="B2523" i="1"/>
  <c r="A2524" i="1"/>
  <c r="B2524" i="1"/>
  <c r="A2525" i="1"/>
  <c r="B2525" i="1"/>
  <c r="A2526" i="1"/>
  <c r="B2526" i="1"/>
  <c r="A2527" i="1"/>
  <c r="B2527" i="1"/>
  <c r="A2528" i="1"/>
  <c r="B2528" i="1"/>
  <c r="A2529" i="1"/>
  <c r="B2529" i="1"/>
  <c r="A2530" i="1"/>
  <c r="B2530" i="1"/>
  <c r="A2531" i="1"/>
  <c r="B2531" i="1"/>
  <c r="A2532" i="1"/>
  <c r="B2532" i="1"/>
  <c r="A2533" i="1"/>
  <c r="B2533" i="1"/>
  <c r="A2534" i="1"/>
  <c r="B2534" i="1"/>
  <c r="A2535" i="1"/>
  <c r="B2535" i="1"/>
  <c r="A2536" i="1"/>
  <c r="B2536" i="1"/>
  <c r="A2537" i="1"/>
  <c r="B2537" i="1"/>
  <c r="A2538" i="1"/>
  <c r="A2539" i="1"/>
  <c r="A2540" i="1"/>
  <c r="A2541" i="1"/>
  <c r="A2542" i="1"/>
  <c r="A2543" i="1"/>
  <c r="A2544" i="1"/>
  <c r="A2545" i="1"/>
  <c r="A2546" i="1"/>
  <c r="A2547" i="1"/>
  <c r="A2548" i="1"/>
  <c r="A2549" i="1"/>
  <c r="B2549" i="1"/>
  <c r="A2550" i="1"/>
  <c r="B2550" i="1"/>
  <c r="A2551" i="1"/>
  <c r="A2552" i="1"/>
  <c r="B2552" i="1"/>
  <c r="A2553" i="1"/>
  <c r="B2553" i="1"/>
  <c r="A2554" i="1"/>
  <c r="A2555" i="1"/>
  <c r="A2556" i="1"/>
  <c r="B2556" i="1"/>
  <c r="A2557" i="1"/>
  <c r="B2557" i="1"/>
  <c r="A2558" i="1"/>
  <c r="B2558" i="1"/>
  <c r="A2559" i="1"/>
  <c r="B2559" i="1"/>
  <c r="A2560" i="1"/>
  <c r="B2560" i="1"/>
  <c r="A2561" i="1"/>
  <c r="B2561" i="1"/>
  <c r="A2562" i="1"/>
  <c r="B2562" i="1"/>
  <c r="A2563" i="1"/>
  <c r="B2563" i="1"/>
  <c r="A2564" i="1"/>
  <c r="B2564" i="1"/>
  <c r="A2565" i="1"/>
  <c r="B2565" i="1"/>
  <c r="A2566" i="1"/>
  <c r="B2566" i="1"/>
  <c r="A2567" i="1"/>
  <c r="B2567" i="1"/>
  <c r="A2568" i="1"/>
  <c r="B2568" i="1"/>
  <c r="A2569" i="1"/>
  <c r="B2569" i="1"/>
  <c r="A2570" i="1"/>
  <c r="B2570" i="1"/>
  <c r="A2571" i="1"/>
  <c r="B2571" i="1"/>
  <c r="A2572" i="1"/>
  <c r="B2572" i="1"/>
  <c r="A2573" i="1"/>
  <c r="B2573" i="1"/>
  <c r="A2574" i="1"/>
  <c r="B2574" i="1"/>
  <c r="A2575" i="1"/>
  <c r="B2575" i="1"/>
  <c r="A2576" i="1"/>
  <c r="B2576" i="1"/>
  <c r="A2577" i="1"/>
  <c r="B2577" i="1"/>
  <c r="A2578" i="1"/>
  <c r="B2578" i="1"/>
  <c r="A2579" i="1"/>
  <c r="B2579" i="1"/>
  <c r="A2580" i="1"/>
  <c r="B2580" i="1"/>
  <c r="A2581" i="1"/>
  <c r="B2581" i="1"/>
  <c r="A2582" i="1"/>
  <c r="B2582" i="1"/>
  <c r="A2583" i="1"/>
  <c r="B2583" i="1"/>
  <c r="A2584" i="1"/>
  <c r="B2584" i="1"/>
  <c r="A2585" i="1"/>
  <c r="B2585" i="1"/>
  <c r="A2586" i="1"/>
  <c r="B2586" i="1"/>
  <c r="A2587" i="1"/>
  <c r="B2587" i="1"/>
  <c r="A2588" i="1"/>
  <c r="B2588" i="1"/>
  <c r="A2589" i="1"/>
  <c r="A2590" i="1"/>
  <c r="A2591" i="1"/>
  <c r="B2591" i="1"/>
  <c r="A2592" i="1"/>
  <c r="B2592" i="1"/>
  <c r="A2593" i="1"/>
  <c r="B2593" i="1"/>
  <c r="A2594" i="1"/>
  <c r="B2594" i="1"/>
  <c r="A2595" i="1"/>
  <c r="B2595" i="1"/>
  <c r="A2596" i="1"/>
  <c r="B2596" i="1"/>
  <c r="A2597" i="1"/>
  <c r="B2597" i="1"/>
  <c r="A2598" i="1"/>
  <c r="B2598" i="1"/>
  <c r="A2599" i="1"/>
  <c r="B2599" i="1"/>
  <c r="A2600" i="1"/>
  <c r="B2600" i="1"/>
  <c r="A2601" i="1"/>
  <c r="A2602" i="1"/>
  <c r="B2602" i="1"/>
  <c r="A2603" i="1"/>
  <c r="B2603" i="1"/>
  <c r="A2604" i="1"/>
  <c r="B2604" i="1"/>
  <c r="A2605" i="1"/>
  <c r="B2605" i="1"/>
  <c r="A2606" i="1"/>
  <c r="B2606" i="1"/>
  <c r="A2607" i="1"/>
  <c r="B2607" i="1"/>
  <c r="A2608" i="1"/>
  <c r="B2608" i="1"/>
  <c r="A2609" i="1"/>
  <c r="B2609" i="1"/>
  <c r="A2610" i="1"/>
  <c r="B2610" i="1"/>
  <c r="A2611" i="1"/>
  <c r="B2611" i="1"/>
  <c r="A2612" i="1"/>
  <c r="B2612" i="1"/>
  <c r="A2613" i="1"/>
  <c r="B2613" i="1"/>
  <c r="A2614" i="1"/>
  <c r="B2614" i="1"/>
  <c r="A2615" i="1"/>
  <c r="B2615" i="1"/>
  <c r="A2616" i="1"/>
  <c r="A2617" i="1"/>
  <c r="B2617" i="1"/>
  <c r="A2618" i="1"/>
  <c r="B2618" i="1"/>
  <c r="A2619" i="1"/>
  <c r="B2619" i="1"/>
  <c r="A2620" i="1"/>
  <c r="B2620" i="1"/>
  <c r="A2621" i="1"/>
  <c r="B2621" i="1"/>
  <c r="A2622" i="1"/>
  <c r="B2622" i="1"/>
  <c r="A2623" i="1"/>
  <c r="B2623" i="1"/>
  <c r="A2624" i="1"/>
  <c r="B2624" i="1"/>
  <c r="A2625" i="1"/>
  <c r="B2625" i="1"/>
  <c r="A2626" i="1"/>
  <c r="B2626" i="1"/>
  <c r="A2627" i="1"/>
  <c r="B2627" i="1"/>
  <c r="A2628" i="1"/>
  <c r="B2628" i="1"/>
  <c r="A2629" i="1"/>
  <c r="B2629" i="1"/>
  <c r="A2630" i="1"/>
  <c r="B2630" i="1"/>
  <c r="A2631" i="1"/>
  <c r="B2631" i="1"/>
  <c r="A2632" i="1"/>
  <c r="B2632" i="1"/>
  <c r="A2633" i="1"/>
  <c r="B2633" i="1"/>
  <c r="A2634" i="1"/>
  <c r="B2634" i="1"/>
  <c r="A2635" i="1"/>
  <c r="B2635" i="1"/>
  <c r="A2636" i="1"/>
  <c r="B2636" i="1"/>
  <c r="A2637" i="1"/>
  <c r="B2637" i="1"/>
  <c r="A2638" i="1"/>
  <c r="A2639" i="1"/>
  <c r="B2639" i="1"/>
  <c r="A2640" i="1"/>
  <c r="B2640" i="1"/>
  <c r="A2641" i="1"/>
  <c r="B2641" i="1"/>
  <c r="A2642" i="1"/>
  <c r="B2642" i="1"/>
  <c r="A2643" i="1"/>
  <c r="B2643" i="1"/>
  <c r="A2644" i="1"/>
  <c r="B2644" i="1"/>
  <c r="A2645" i="1"/>
  <c r="B2645" i="1"/>
  <c r="A2646" i="1"/>
  <c r="B2646" i="1"/>
  <c r="A2647" i="1"/>
  <c r="B2647" i="1"/>
  <c r="A2648" i="1"/>
  <c r="B2648" i="1"/>
  <c r="A2649" i="1"/>
  <c r="B2649" i="1"/>
  <c r="A2650" i="1"/>
  <c r="B2650" i="1"/>
  <c r="A2651" i="1"/>
  <c r="B2651" i="1"/>
  <c r="A2652" i="1"/>
  <c r="B2652" i="1"/>
  <c r="A2653" i="1"/>
  <c r="B2653" i="1"/>
  <c r="A2654" i="1"/>
  <c r="B2654" i="1"/>
  <c r="A2655" i="1"/>
  <c r="B2655" i="1"/>
  <c r="A2656" i="1"/>
  <c r="B2656" i="1"/>
  <c r="A2657" i="1"/>
  <c r="B2657" i="1"/>
  <c r="A2658" i="1"/>
  <c r="B2658" i="1"/>
  <c r="A2659" i="1"/>
  <c r="B2659" i="1"/>
  <c r="A2660" i="1"/>
  <c r="B2660" i="1"/>
  <c r="A2661" i="1"/>
  <c r="A2662" i="1"/>
  <c r="B2662" i="1"/>
  <c r="A2663" i="1"/>
  <c r="B2663" i="1"/>
  <c r="A2664" i="1"/>
  <c r="B2664" i="1"/>
  <c r="A2665" i="1"/>
  <c r="B2665" i="1"/>
  <c r="A2666" i="1"/>
  <c r="B2666" i="1"/>
  <c r="A2667" i="1"/>
  <c r="B2667" i="1"/>
  <c r="A2668" i="1"/>
  <c r="B2668" i="1"/>
  <c r="A2669" i="1"/>
  <c r="B2669" i="1"/>
  <c r="A2670" i="1"/>
  <c r="B2670" i="1"/>
  <c r="A2671" i="1"/>
  <c r="A2672" i="1"/>
  <c r="B2672" i="1"/>
  <c r="A2673" i="1"/>
  <c r="B2673" i="1"/>
  <c r="A2674" i="1"/>
  <c r="B2674" i="1"/>
  <c r="A2675" i="1"/>
  <c r="B2675" i="1"/>
  <c r="A2676" i="1"/>
  <c r="B2676" i="1"/>
  <c r="A2677" i="1"/>
  <c r="B2677" i="1"/>
  <c r="A2678" i="1"/>
  <c r="B2678" i="1"/>
  <c r="A2679" i="1"/>
  <c r="B2679" i="1"/>
  <c r="A2680" i="1"/>
  <c r="B2680" i="1"/>
  <c r="A2681" i="1"/>
  <c r="B2681" i="1"/>
  <c r="A2682" i="1"/>
  <c r="B2682" i="1"/>
  <c r="A2683" i="1"/>
  <c r="B2683" i="1"/>
  <c r="A2684" i="1"/>
  <c r="B2684" i="1"/>
  <c r="A2685" i="1"/>
  <c r="B2685" i="1"/>
  <c r="A2686" i="1"/>
  <c r="B2686" i="1"/>
  <c r="A2687" i="1"/>
  <c r="B2687" i="1"/>
  <c r="A2688" i="1"/>
  <c r="B2688" i="1"/>
  <c r="A2689" i="1"/>
  <c r="B2689" i="1"/>
  <c r="A2690" i="1"/>
  <c r="B2690" i="1"/>
  <c r="A2691" i="1"/>
  <c r="B2691" i="1"/>
  <c r="A2692" i="1"/>
  <c r="B2692" i="1"/>
  <c r="A2693" i="1"/>
  <c r="B2693" i="1"/>
  <c r="A2694" i="1"/>
  <c r="B2694" i="1"/>
  <c r="A2695" i="1"/>
  <c r="B2695" i="1"/>
  <c r="A2696" i="1"/>
  <c r="B2696" i="1"/>
  <c r="A2697" i="1"/>
  <c r="B2697" i="1"/>
  <c r="A2698" i="1"/>
  <c r="B2698" i="1"/>
  <c r="A2699" i="1"/>
  <c r="B2699" i="1"/>
  <c r="A2700" i="1"/>
  <c r="B2700" i="1"/>
  <c r="A2701" i="1"/>
  <c r="B2701" i="1"/>
  <c r="A2702" i="1"/>
  <c r="B2702" i="1"/>
  <c r="A2703" i="1"/>
  <c r="B2703" i="1"/>
  <c r="A2704" i="1"/>
  <c r="B2704" i="1"/>
  <c r="A2705" i="1"/>
  <c r="B2705" i="1"/>
  <c r="A2706" i="1"/>
  <c r="B2706" i="1"/>
  <c r="A2707" i="1"/>
  <c r="B2707" i="1"/>
  <c r="A2708" i="1"/>
  <c r="B2708" i="1"/>
  <c r="A2709" i="1"/>
  <c r="A2710" i="1"/>
  <c r="A2711" i="1"/>
  <c r="B2711" i="1"/>
  <c r="A2712" i="1"/>
  <c r="B2712" i="1"/>
  <c r="A2713" i="1"/>
  <c r="B2713" i="1"/>
  <c r="A2714" i="1"/>
  <c r="B2714" i="1"/>
  <c r="A2715" i="1"/>
  <c r="B2715" i="1"/>
  <c r="A2716" i="1"/>
  <c r="B2716" i="1"/>
  <c r="A2717" i="1"/>
  <c r="B2717" i="1"/>
  <c r="A2718" i="1"/>
  <c r="B2718" i="1"/>
  <c r="A2719" i="1"/>
  <c r="B2719" i="1"/>
  <c r="A2720" i="1"/>
  <c r="B2720" i="1"/>
  <c r="A2721" i="1"/>
  <c r="B2721" i="1"/>
  <c r="A2722" i="1"/>
  <c r="B2722" i="1"/>
  <c r="A2723" i="1"/>
  <c r="B2723" i="1"/>
  <c r="A2724" i="1"/>
  <c r="B2724" i="1"/>
  <c r="A2725" i="1"/>
  <c r="B2725" i="1"/>
  <c r="A2726" i="1"/>
  <c r="B2726" i="1"/>
  <c r="A2727" i="1"/>
  <c r="B2727" i="1"/>
  <c r="A2728" i="1"/>
  <c r="A2729" i="1"/>
  <c r="B2729" i="1"/>
  <c r="A2730" i="1"/>
  <c r="A2731" i="1"/>
  <c r="B2731" i="1"/>
  <c r="A2732" i="1"/>
  <c r="A2733" i="1"/>
  <c r="B2733" i="1"/>
  <c r="A2734" i="1"/>
  <c r="B2734" i="1"/>
  <c r="A2735" i="1"/>
  <c r="B2735" i="1"/>
  <c r="A2736" i="1"/>
  <c r="B2736" i="1"/>
  <c r="A2737" i="1"/>
  <c r="B2737" i="1"/>
  <c r="A2738" i="1"/>
  <c r="B2738" i="1"/>
  <c r="A2739" i="1"/>
  <c r="B2739" i="1"/>
  <c r="A2740" i="1"/>
  <c r="A2741" i="1"/>
  <c r="A2742" i="1"/>
  <c r="B2742" i="1"/>
  <c r="A2743" i="1"/>
  <c r="B2743" i="1"/>
  <c r="A2744" i="1"/>
  <c r="B2744" i="1"/>
  <c r="A2745" i="1"/>
  <c r="B2745" i="1"/>
  <c r="A2746" i="1"/>
  <c r="B2746" i="1"/>
  <c r="A2747" i="1"/>
  <c r="A2748" i="1"/>
  <c r="A2749" i="1"/>
  <c r="A2750" i="1"/>
  <c r="B2750" i="1"/>
  <c r="A2751" i="1"/>
  <c r="B2751" i="1"/>
  <c r="A2752" i="1"/>
  <c r="B2752" i="1"/>
  <c r="A2753" i="1"/>
  <c r="B2753" i="1"/>
  <c r="A2754" i="1"/>
  <c r="B2754" i="1"/>
  <c r="A2755" i="1"/>
  <c r="B2755" i="1"/>
  <c r="A2756" i="1"/>
  <c r="B2756" i="1"/>
  <c r="A2757" i="1"/>
  <c r="B2757" i="1"/>
  <c r="A2758" i="1"/>
  <c r="B2758" i="1"/>
  <c r="A2759" i="1"/>
  <c r="B2759" i="1"/>
  <c r="A2760" i="1"/>
  <c r="B2760" i="1"/>
  <c r="A2761" i="1"/>
  <c r="B2761" i="1"/>
  <c r="A2762" i="1"/>
  <c r="B2762" i="1"/>
  <c r="A2763" i="1"/>
  <c r="B2763" i="1"/>
  <c r="A2764" i="1"/>
  <c r="B2764" i="1"/>
  <c r="A2765" i="1"/>
  <c r="B2765" i="1"/>
  <c r="A2766" i="1"/>
  <c r="B2766" i="1"/>
  <c r="A2767" i="1"/>
  <c r="A2768" i="1"/>
  <c r="B2768" i="1"/>
  <c r="A2769" i="1"/>
  <c r="B2769" i="1"/>
  <c r="A2770" i="1"/>
  <c r="A2771" i="1"/>
  <c r="B2771" i="1"/>
  <c r="A2772" i="1"/>
  <c r="B2772" i="1"/>
  <c r="A2773" i="1"/>
  <c r="B2773" i="1"/>
  <c r="A2774" i="1"/>
  <c r="A2775" i="1"/>
  <c r="B2775" i="1"/>
  <c r="A2776" i="1"/>
  <c r="B2776" i="1"/>
  <c r="A2777" i="1"/>
  <c r="B2777" i="1"/>
  <c r="A2778" i="1"/>
  <c r="B2778" i="1"/>
  <c r="A2779" i="1"/>
  <c r="B2779" i="1"/>
  <c r="A2780" i="1"/>
  <c r="A2781" i="1"/>
  <c r="B2781" i="1"/>
  <c r="A2782" i="1"/>
  <c r="B2782" i="1"/>
  <c r="A2783" i="1"/>
  <c r="B2783" i="1"/>
  <c r="A2784" i="1"/>
  <c r="B2784" i="1"/>
  <c r="A2785" i="1"/>
  <c r="B2785" i="1"/>
  <c r="A2786" i="1"/>
  <c r="B2786" i="1"/>
  <c r="A2787" i="1"/>
  <c r="B2787" i="1"/>
  <c r="A2788" i="1"/>
  <c r="B2788" i="1"/>
  <c r="A2789" i="1"/>
  <c r="B2789" i="1"/>
  <c r="A2790" i="1"/>
  <c r="B2790" i="1"/>
  <c r="A2791" i="1"/>
  <c r="B2791" i="1"/>
  <c r="A2792" i="1"/>
  <c r="B2792" i="1"/>
  <c r="A2793" i="1"/>
  <c r="B2793" i="1"/>
  <c r="A2794" i="1"/>
  <c r="B2794" i="1"/>
  <c r="A2795" i="1"/>
  <c r="B2795" i="1"/>
  <c r="A2796" i="1"/>
  <c r="B2796" i="1"/>
  <c r="A2797" i="1"/>
  <c r="B2797" i="1"/>
  <c r="A2798" i="1"/>
  <c r="B2798" i="1"/>
  <c r="A2799" i="1"/>
  <c r="A2800" i="1"/>
  <c r="A2801" i="1"/>
  <c r="A2802" i="1"/>
  <c r="B2802" i="1"/>
  <c r="A2803" i="1"/>
  <c r="A2804" i="1"/>
  <c r="B2804" i="1"/>
  <c r="A2805" i="1"/>
  <c r="B2805" i="1"/>
  <c r="A2806" i="1"/>
  <c r="B2806" i="1"/>
  <c r="A2807" i="1"/>
  <c r="B2807" i="1"/>
  <c r="A2808" i="1"/>
  <c r="A2809" i="1"/>
  <c r="A2810" i="1"/>
  <c r="B2810" i="1"/>
  <c r="A2811" i="1"/>
  <c r="A2812" i="1"/>
  <c r="A2813" i="1"/>
  <c r="B2813" i="1"/>
  <c r="A2814" i="1"/>
  <c r="B2814" i="1"/>
  <c r="A2815" i="1"/>
  <c r="B2815" i="1"/>
  <c r="A2816" i="1"/>
  <c r="B2816" i="1"/>
  <c r="A2817" i="1"/>
  <c r="B2817" i="1"/>
  <c r="A2818" i="1"/>
  <c r="A2819" i="1"/>
  <c r="B2819" i="1"/>
  <c r="A2820" i="1"/>
  <c r="B2820" i="1"/>
  <c r="A2821" i="1"/>
  <c r="A2822" i="1"/>
  <c r="B2822" i="1"/>
  <c r="A2823" i="1"/>
  <c r="B2823" i="1"/>
  <c r="A2824" i="1"/>
  <c r="B2824" i="1"/>
  <c r="A2825" i="1"/>
  <c r="B2825" i="1"/>
  <c r="A2826" i="1"/>
  <c r="B2826" i="1"/>
  <c r="A2827" i="1"/>
  <c r="B2827" i="1"/>
  <c r="A2828" i="1"/>
  <c r="B2828" i="1"/>
  <c r="A2829" i="1"/>
  <c r="A2830" i="1"/>
  <c r="A2831" i="1"/>
  <c r="A2832" i="1"/>
  <c r="B2832" i="1"/>
  <c r="A2833" i="1"/>
  <c r="B2833" i="1"/>
  <c r="A2834" i="1"/>
  <c r="B2834" i="1"/>
  <c r="A2835" i="1"/>
  <c r="A2836" i="1"/>
  <c r="A2837" i="1"/>
  <c r="B2837" i="1"/>
  <c r="A2838" i="1"/>
  <c r="B2838" i="1"/>
  <c r="A2839" i="1"/>
  <c r="A2840" i="1"/>
  <c r="B2840" i="1"/>
  <c r="A2841" i="1"/>
  <c r="B2841" i="1"/>
  <c r="A2842" i="1"/>
  <c r="B2842" i="1"/>
  <c r="A2843" i="1"/>
  <c r="A2844" i="1"/>
  <c r="B2844" i="1"/>
  <c r="A2845" i="1"/>
  <c r="B2845" i="1"/>
  <c r="A2846" i="1"/>
  <c r="B2846" i="1"/>
  <c r="A2847" i="1"/>
  <c r="A2848" i="1"/>
  <c r="B2848" i="1"/>
  <c r="A2849" i="1"/>
  <c r="B2849" i="1"/>
  <c r="A2850" i="1"/>
  <c r="B2850" i="1"/>
  <c r="A2851" i="1"/>
  <c r="B2851" i="1"/>
  <c r="A2852" i="1"/>
  <c r="B2852" i="1"/>
  <c r="A2853" i="1"/>
  <c r="B2853" i="1"/>
  <c r="A2854" i="1"/>
  <c r="B2854" i="1"/>
  <c r="A2855" i="1"/>
  <c r="B2855" i="1"/>
  <c r="A2856" i="1"/>
  <c r="B2856" i="1"/>
  <c r="A2857" i="1"/>
  <c r="B2857" i="1"/>
  <c r="A2858" i="1"/>
  <c r="A2859" i="1"/>
  <c r="B2859" i="1"/>
  <c r="A2860" i="1"/>
  <c r="B2860" i="1"/>
  <c r="A2861" i="1"/>
  <c r="A2862" i="1"/>
  <c r="A2863" i="1"/>
  <c r="A2864" i="1"/>
  <c r="B2864" i="1"/>
  <c r="A2865" i="1"/>
  <c r="B2865" i="1"/>
  <c r="A2866" i="1"/>
  <c r="B2866" i="1"/>
  <c r="A2867" i="1"/>
  <c r="B2867" i="1"/>
  <c r="A2868" i="1"/>
  <c r="A2869" i="1"/>
  <c r="B2869" i="1"/>
  <c r="A2870" i="1"/>
  <c r="B2870" i="1"/>
  <c r="A2871" i="1"/>
  <c r="B2871" i="1"/>
  <c r="A2872" i="1"/>
  <c r="B2872" i="1"/>
  <c r="A2873" i="1"/>
  <c r="B2873" i="1"/>
  <c r="A2874" i="1"/>
  <c r="B2874" i="1"/>
  <c r="A2875" i="1"/>
  <c r="B2875" i="1"/>
  <c r="A2876" i="1"/>
  <c r="B2876" i="1"/>
  <c r="A2877" i="1"/>
  <c r="B2877" i="1"/>
  <c r="A2878" i="1"/>
  <c r="B2878" i="1"/>
  <c r="A2879" i="1"/>
  <c r="B2879" i="1"/>
  <c r="A2880" i="1"/>
  <c r="B2880" i="1"/>
  <c r="A2881" i="1"/>
  <c r="B2881" i="1"/>
  <c r="A2882" i="1"/>
  <c r="B2882" i="1"/>
  <c r="A2883" i="1"/>
  <c r="B2883" i="1"/>
  <c r="A2884" i="1"/>
  <c r="B2884" i="1"/>
  <c r="A2885" i="1"/>
  <c r="A2886" i="1"/>
  <c r="B2886" i="1"/>
  <c r="A2887" i="1"/>
  <c r="B2887" i="1"/>
  <c r="A2888" i="1"/>
  <c r="A2889" i="1"/>
  <c r="B2889" i="1"/>
  <c r="A2890" i="1"/>
  <c r="B2890" i="1"/>
  <c r="A2891" i="1"/>
  <c r="B2891" i="1"/>
  <c r="A2892" i="1"/>
  <c r="B2892" i="1"/>
  <c r="A2893" i="1"/>
  <c r="B2893" i="1"/>
  <c r="A2894" i="1"/>
  <c r="B2894" i="1"/>
  <c r="A2895" i="1"/>
  <c r="A2896" i="1"/>
  <c r="B2896" i="1"/>
  <c r="A2897" i="1"/>
  <c r="B2897" i="1"/>
  <c r="A2898" i="1"/>
  <c r="A2899" i="1"/>
  <c r="B2899" i="1"/>
  <c r="A2900" i="1"/>
  <c r="B2900" i="1"/>
  <c r="A2901" i="1"/>
  <c r="B2901" i="1"/>
  <c r="A2902" i="1"/>
  <c r="B2902" i="1"/>
  <c r="A2903" i="1"/>
  <c r="A2904" i="1"/>
  <c r="A2905" i="1"/>
  <c r="A2906" i="1"/>
  <c r="B2906" i="1"/>
  <c r="A2907" i="1"/>
  <c r="A2908" i="1"/>
  <c r="A2909" i="1"/>
  <c r="B2909" i="1"/>
  <c r="A2910" i="1"/>
  <c r="A2911" i="1"/>
  <c r="A2912" i="1"/>
  <c r="A2913" i="1"/>
  <c r="A2914" i="1"/>
  <c r="B2914" i="1"/>
  <c r="A2915" i="1"/>
  <c r="A2916" i="1"/>
  <c r="A2917" i="1"/>
  <c r="B2917" i="1"/>
  <c r="A2918" i="1"/>
  <c r="A2919" i="1"/>
  <c r="B2919" i="1"/>
  <c r="A2920" i="1"/>
  <c r="B2920" i="1"/>
  <c r="A2921" i="1"/>
  <c r="B2921" i="1"/>
  <c r="A2922" i="1"/>
  <c r="B2922" i="1"/>
  <c r="A2923" i="1"/>
  <c r="B2923" i="1"/>
  <c r="A2924" i="1"/>
  <c r="B2924" i="1"/>
  <c r="A2925" i="1"/>
  <c r="B2925" i="1"/>
  <c r="A2926" i="1"/>
  <c r="A2927" i="1"/>
  <c r="B2927" i="1"/>
  <c r="A2928" i="1"/>
  <c r="B2928" i="1"/>
  <c r="A2929" i="1"/>
  <c r="B2929" i="1"/>
  <c r="A2930" i="1"/>
  <c r="A2931" i="1"/>
  <c r="B2931" i="1"/>
  <c r="A2932" i="1"/>
  <c r="B2932" i="1"/>
  <c r="A2933" i="1"/>
  <c r="A2934" i="1"/>
  <c r="B2934" i="1"/>
  <c r="A2935" i="1"/>
  <c r="B2935" i="1"/>
  <c r="A2936" i="1"/>
  <c r="B2936" i="1"/>
  <c r="A2937" i="1"/>
  <c r="B2937" i="1"/>
  <c r="A2938" i="1"/>
  <c r="A2939" i="1"/>
  <c r="A2940" i="1"/>
  <c r="A2941" i="1"/>
  <c r="B2941" i="1"/>
  <c r="A2942" i="1"/>
  <c r="B2942" i="1"/>
  <c r="A2943" i="1"/>
  <c r="B2943" i="1"/>
  <c r="A2944" i="1"/>
  <c r="B2944" i="1"/>
  <c r="A2945" i="1"/>
  <c r="B2945" i="1"/>
  <c r="A2946" i="1"/>
  <c r="B2946" i="1"/>
  <c r="A2947" i="1"/>
  <c r="B2947" i="1"/>
  <c r="A2948" i="1"/>
  <c r="B2948" i="1"/>
  <c r="A2949" i="1"/>
  <c r="B2949" i="1"/>
  <c r="A2950" i="1"/>
  <c r="A2951" i="1"/>
  <c r="B2951" i="1"/>
  <c r="A2952" i="1"/>
  <c r="A2953" i="1"/>
  <c r="B2953" i="1"/>
  <c r="A2954" i="1"/>
  <c r="A2955" i="1"/>
  <c r="A2956" i="1"/>
  <c r="B2956" i="1"/>
  <c r="A2957" i="1"/>
  <c r="B2957" i="1"/>
  <c r="A2958" i="1"/>
  <c r="A2959" i="1"/>
  <c r="A2960" i="1"/>
  <c r="A2961" i="1"/>
  <c r="B2961" i="1"/>
  <c r="A2962" i="1"/>
  <c r="B2962" i="1"/>
  <c r="A2963" i="1"/>
  <c r="B2963" i="1"/>
  <c r="A2964" i="1"/>
  <c r="B2964" i="1"/>
  <c r="A2965" i="1"/>
  <c r="A2966" i="1"/>
  <c r="B2966" i="1"/>
  <c r="A2967" i="1"/>
  <c r="B2967" i="1"/>
  <c r="A2968" i="1"/>
  <c r="B2968" i="1"/>
  <c r="A2969" i="1"/>
  <c r="B2969" i="1"/>
  <c r="A2970" i="1"/>
  <c r="A2971" i="1"/>
  <c r="B2971" i="1"/>
  <c r="A2972" i="1"/>
  <c r="B2972" i="1"/>
  <c r="A2973" i="1"/>
  <c r="A2974" i="1"/>
  <c r="B2974" i="1"/>
  <c r="A2975" i="1"/>
  <c r="B2975" i="1"/>
  <c r="A2976" i="1"/>
  <c r="B2976" i="1"/>
  <c r="A2977" i="1"/>
  <c r="B2977" i="1"/>
  <c r="A2978" i="1"/>
  <c r="B2978" i="1"/>
  <c r="A2979" i="1"/>
  <c r="B2979" i="1"/>
  <c r="A2980" i="1"/>
  <c r="B2980" i="1"/>
  <c r="A2981" i="1"/>
  <c r="B2981" i="1"/>
  <c r="A2982" i="1"/>
  <c r="B2982" i="1"/>
  <c r="A2983" i="1"/>
  <c r="B2983" i="1"/>
  <c r="A2984" i="1"/>
  <c r="B2984" i="1"/>
  <c r="A2985" i="1"/>
  <c r="A2986" i="1"/>
  <c r="B2986" i="1"/>
  <c r="A2987" i="1"/>
  <c r="B2987" i="1"/>
  <c r="A2988" i="1"/>
  <c r="B2988" i="1"/>
  <c r="A2989" i="1"/>
  <c r="B2989" i="1"/>
  <c r="A2990" i="1"/>
  <c r="B2990" i="1"/>
  <c r="A2991" i="1"/>
  <c r="B2991" i="1"/>
  <c r="A2992" i="1"/>
  <c r="B2992" i="1"/>
  <c r="A2993" i="1"/>
  <c r="B2993" i="1"/>
  <c r="A2994" i="1"/>
  <c r="B2994" i="1"/>
  <c r="A2995" i="1"/>
  <c r="B2995" i="1"/>
  <c r="A2996" i="1"/>
  <c r="A2997" i="1"/>
  <c r="A2998" i="1"/>
  <c r="B2998" i="1"/>
  <c r="A2999" i="1"/>
  <c r="B2999" i="1"/>
  <c r="A3000" i="1"/>
  <c r="B3000" i="1"/>
  <c r="A3001" i="1"/>
  <c r="A3002" i="1"/>
  <c r="A3003" i="1"/>
  <c r="B3003" i="1"/>
  <c r="A3004" i="1"/>
  <c r="B3004" i="1"/>
  <c r="A3005" i="1"/>
  <c r="B3005" i="1"/>
  <c r="A3006" i="1"/>
  <c r="B3006" i="1"/>
  <c r="A3007" i="1"/>
  <c r="B3007" i="1"/>
  <c r="A3008" i="1"/>
  <c r="A3009" i="1"/>
  <c r="B3009" i="1"/>
  <c r="A3010" i="1"/>
  <c r="B3010" i="1"/>
  <c r="A3011" i="1"/>
  <c r="A3012" i="1"/>
  <c r="B3012" i="1"/>
  <c r="A3013" i="1"/>
  <c r="B3013" i="1"/>
  <c r="A3014" i="1"/>
  <c r="B3014" i="1"/>
  <c r="A3015" i="1"/>
  <c r="B3015" i="1"/>
  <c r="A3016" i="1"/>
  <c r="A3017" i="1"/>
  <c r="B3017" i="1"/>
  <c r="A3018" i="1"/>
  <c r="B3018" i="1"/>
  <c r="A3019" i="1"/>
  <c r="B3019" i="1"/>
  <c r="A3020" i="1"/>
  <c r="B3020" i="1"/>
  <c r="A3021" i="1"/>
  <c r="A3022" i="1"/>
  <c r="B3022" i="1"/>
  <c r="A3023" i="1"/>
  <c r="A3024" i="1"/>
  <c r="B3024" i="1"/>
  <c r="A3025" i="1"/>
  <c r="B3025" i="1"/>
  <c r="A3026" i="1"/>
  <c r="B3026" i="1"/>
  <c r="A3027" i="1"/>
  <c r="B3027" i="1"/>
  <c r="A3028" i="1"/>
  <c r="B3028" i="1"/>
  <c r="A3029" i="1"/>
  <c r="B3029" i="1"/>
  <c r="A3030" i="1"/>
  <c r="B3030" i="1"/>
  <c r="A3031" i="1"/>
  <c r="B3031" i="1"/>
  <c r="A3032" i="1"/>
  <c r="B3032" i="1"/>
  <c r="A3033" i="1"/>
  <c r="A3034" i="1"/>
  <c r="B3034" i="1"/>
  <c r="A3035" i="1"/>
  <c r="B3035" i="1"/>
  <c r="A3036" i="1"/>
  <c r="A3037" i="1"/>
  <c r="B3037" i="1"/>
  <c r="A3038" i="1"/>
  <c r="B3038" i="1"/>
  <c r="A3039" i="1"/>
  <c r="B3039" i="1"/>
  <c r="A3040" i="1"/>
  <c r="B3040" i="1"/>
  <c r="A3041" i="1"/>
  <c r="B3041" i="1"/>
  <c r="A3042" i="1"/>
  <c r="B3042" i="1"/>
  <c r="A3043" i="1"/>
  <c r="A3044" i="1"/>
  <c r="B3044" i="1"/>
  <c r="A3045" i="1"/>
  <c r="B3045" i="1"/>
  <c r="A3046" i="1"/>
  <c r="B3046" i="1"/>
  <c r="A3047" i="1"/>
  <c r="B3047" i="1"/>
  <c r="A3048" i="1"/>
  <c r="B3048" i="1"/>
  <c r="A3049" i="1"/>
  <c r="B3049" i="1"/>
  <c r="A3050" i="1"/>
  <c r="A3051" i="1"/>
  <c r="A3052" i="1"/>
  <c r="B3052" i="1"/>
  <c r="A3053" i="1"/>
  <c r="B3053" i="1"/>
  <c r="A3054" i="1"/>
  <c r="A3055" i="1"/>
  <c r="B3055" i="1"/>
  <c r="A3056" i="1"/>
  <c r="B3056" i="1"/>
  <c r="A3057" i="1"/>
  <c r="A3058" i="1"/>
  <c r="B3058" i="1"/>
  <c r="A3059" i="1"/>
  <c r="B3059" i="1"/>
  <c r="A3060" i="1"/>
  <c r="A3061" i="1"/>
  <c r="A3062" i="1"/>
  <c r="A3063" i="1"/>
  <c r="B3063" i="1"/>
  <c r="A3064" i="1"/>
  <c r="B3064" i="1"/>
  <c r="A3065" i="1"/>
  <c r="B3065" i="1"/>
  <c r="A3066" i="1"/>
  <c r="B3066" i="1"/>
  <c r="A3067" i="1"/>
  <c r="A3068" i="1"/>
  <c r="B3068" i="1"/>
  <c r="A3069" i="1"/>
  <c r="B3069" i="1"/>
  <c r="A3070" i="1"/>
  <c r="B3070" i="1"/>
  <c r="A3071" i="1"/>
  <c r="B3071" i="1"/>
  <c r="A3072" i="1"/>
  <c r="B3072" i="1"/>
  <c r="A3073" i="1"/>
  <c r="B3073" i="1"/>
  <c r="A3074" i="1"/>
  <c r="B3074" i="1"/>
  <c r="A3075" i="1"/>
  <c r="B3075" i="1"/>
  <c r="A3076" i="1"/>
  <c r="B3076" i="1"/>
  <c r="A3077" i="1"/>
  <c r="B3077" i="1"/>
  <c r="A3078" i="1"/>
  <c r="B3078" i="1"/>
  <c r="A3079" i="1"/>
  <c r="B3079" i="1"/>
  <c r="A3080" i="1"/>
  <c r="A3081" i="1"/>
  <c r="B3081" i="1"/>
  <c r="A3082" i="1"/>
  <c r="B3082" i="1"/>
  <c r="A3083" i="1"/>
  <c r="A3084" i="1"/>
  <c r="B3084" i="1"/>
  <c r="A3085" i="1"/>
  <c r="B3085" i="1"/>
  <c r="A3086" i="1"/>
  <c r="B3086" i="1"/>
  <c r="A3087" i="1"/>
  <c r="B3087" i="1"/>
  <c r="A3088" i="1"/>
  <c r="B3088" i="1"/>
  <c r="A3089" i="1"/>
  <c r="B3089" i="1"/>
  <c r="A3090" i="1"/>
  <c r="B3090" i="1"/>
  <c r="A3091" i="1"/>
  <c r="B3091" i="1"/>
  <c r="A3092" i="1"/>
  <c r="A3093" i="1"/>
  <c r="A3094" i="1"/>
  <c r="A3095" i="1"/>
  <c r="A3096" i="1"/>
  <c r="A3097" i="1"/>
  <c r="A3098" i="1"/>
  <c r="A3099" i="1"/>
  <c r="A3100" i="1"/>
  <c r="A3101" i="1"/>
  <c r="A3102" i="1"/>
  <c r="A3103" i="1"/>
  <c r="A3104" i="1"/>
  <c r="B3104" i="1"/>
  <c r="A3105" i="1"/>
  <c r="B3105" i="1"/>
  <c r="A3106" i="1"/>
  <c r="A3107" i="1"/>
  <c r="B3107" i="1"/>
  <c r="A3108" i="1"/>
  <c r="B3108" i="1"/>
  <c r="A3109" i="1"/>
  <c r="A3110" i="1"/>
  <c r="B3110" i="1"/>
  <c r="A3111" i="1"/>
  <c r="A3112" i="1"/>
  <c r="B3112" i="1"/>
  <c r="A3113" i="1"/>
  <c r="B3113" i="1"/>
  <c r="A3114" i="1"/>
  <c r="B3114" i="1"/>
  <c r="A3115" i="1"/>
  <c r="B3115" i="1"/>
  <c r="A3116" i="1"/>
  <c r="B3116" i="1"/>
  <c r="A3117" i="1"/>
  <c r="B3117" i="1"/>
  <c r="A3118" i="1"/>
  <c r="B3118" i="1"/>
  <c r="A3119" i="1"/>
  <c r="B3119" i="1"/>
  <c r="A3120" i="1"/>
  <c r="B3120" i="1"/>
  <c r="A3121" i="1"/>
  <c r="B3121" i="1"/>
  <c r="A3122" i="1"/>
  <c r="B3122" i="1"/>
  <c r="A3123" i="1"/>
  <c r="B3123" i="1"/>
  <c r="A3124" i="1"/>
  <c r="B3124" i="1"/>
  <c r="A3125" i="1"/>
  <c r="A3126" i="1"/>
  <c r="B3126" i="1"/>
  <c r="A3127" i="1"/>
  <c r="B3127" i="1"/>
  <c r="A3128" i="1"/>
  <c r="B3128" i="1"/>
  <c r="A3129" i="1"/>
  <c r="A3130" i="1"/>
  <c r="B3130" i="1"/>
  <c r="A3131" i="1"/>
  <c r="B3131" i="1"/>
  <c r="A3132" i="1"/>
  <c r="B3132" i="1"/>
  <c r="A3133" i="1"/>
  <c r="B3133" i="1"/>
  <c r="A3134" i="1"/>
  <c r="B3134" i="1"/>
  <c r="A3135" i="1"/>
  <c r="B3135" i="1"/>
  <c r="A3136" i="1"/>
  <c r="B3136" i="1"/>
  <c r="A3137" i="1"/>
  <c r="A3138" i="1"/>
  <c r="B3138" i="1"/>
  <c r="A3139" i="1"/>
  <c r="B3139" i="1"/>
  <c r="A3140" i="1"/>
  <c r="B3140" i="1"/>
  <c r="A3141" i="1"/>
  <c r="B3141" i="1"/>
  <c r="A3142" i="1"/>
  <c r="B3142" i="1"/>
  <c r="A3143" i="1"/>
  <c r="B3143" i="1"/>
  <c r="A3144" i="1"/>
  <c r="A3145" i="1"/>
  <c r="B3145" i="1"/>
  <c r="A3146" i="1"/>
  <c r="A3147" i="1"/>
  <c r="B3147" i="1"/>
  <c r="A3148" i="1"/>
  <c r="B3148" i="1"/>
  <c r="A3149" i="1"/>
  <c r="B3149" i="1"/>
  <c r="A3150" i="1"/>
  <c r="B3150" i="1"/>
  <c r="A3151" i="1"/>
  <c r="A3152" i="1"/>
  <c r="B3152" i="1"/>
  <c r="A3153" i="1"/>
  <c r="B3153" i="1"/>
  <c r="A3154" i="1"/>
  <c r="B3154" i="1"/>
  <c r="A3155" i="1"/>
  <c r="B3155" i="1"/>
  <c r="A3156" i="1"/>
  <c r="B3156" i="1"/>
  <c r="A3157" i="1"/>
  <c r="B3157" i="1"/>
  <c r="A3158" i="1"/>
  <c r="B3158" i="1"/>
  <c r="A3159" i="1"/>
  <c r="B3159" i="1"/>
  <c r="A3160" i="1"/>
  <c r="B3160" i="1"/>
  <c r="A3161" i="1"/>
  <c r="B3161" i="1"/>
  <c r="A3162" i="1"/>
  <c r="B3162" i="1"/>
  <c r="A3163" i="1"/>
  <c r="B3163" i="1"/>
  <c r="A3164" i="1"/>
  <c r="B3164" i="1"/>
  <c r="A3165" i="1"/>
  <c r="B3165" i="1"/>
  <c r="A3166" i="1"/>
  <c r="B3166" i="1"/>
  <c r="A3167" i="1"/>
  <c r="B3167" i="1"/>
  <c r="A3168" i="1"/>
  <c r="B3168" i="1"/>
  <c r="A3169" i="1"/>
  <c r="B3169" i="1"/>
  <c r="A3170" i="1"/>
  <c r="B3170" i="1"/>
  <c r="A3171" i="1"/>
  <c r="B3171" i="1"/>
  <c r="A3172" i="1"/>
  <c r="B3172" i="1"/>
  <c r="A3173" i="1"/>
  <c r="B3173" i="1"/>
  <c r="A3174" i="1"/>
  <c r="B3174" i="1"/>
  <c r="A3175" i="1"/>
  <c r="B3175" i="1"/>
  <c r="A3176" i="1"/>
  <c r="B3176" i="1"/>
  <c r="A3177" i="1"/>
  <c r="B3177" i="1"/>
  <c r="A3178" i="1"/>
  <c r="B3178" i="1"/>
  <c r="A3179" i="1"/>
  <c r="B3179" i="1"/>
  <c r="A3180" i="1"/>
  <c r="B3180" i="1"/>
  <c r="A3181" i="1"/>
  <c r="A3182" i="1"/>
  <c r="B3182" i="1"/>
  <c r="A3183" i="1"/>
  <c r="B3183" i="1"/>
  <c r="A3184" i="1"/>
  <c r="B3184" i="1"/>
  <c r="A3185" i="1"/>
  <c r="B3185" i="1"/>
  <c r="A3186" i="1"/>
  <c r="A3187" i="1"/>
  <c r="B3187" i="1"/>
  <c r="A3188" i="1"/>
  <c r="B3188" i="1"/>
  <c r="A3189" i="1"/>
  <c r="B3189" i="1"/>
  <c r="A3190" i="1"/>
  <c r="B3190" i="1"/>
  <c r="A3191" i="1"/>
  <c r="B3191" i="1"/>
  <c r="A3192" i="1"/>
  <c r="B3192" i="1"/>
  <c r="A3193" i="1"/>
  <c r="B3193" i="1"/>
  <c r="A3194" i="1"/>
  <c r="B3194" i="1"/>
  <c r="A3195" i="1"/>
  <c r="B3195" i="1"/>
  <c r="A3196" i="1"/>
  <c r="B3196" i="1"/>
  <c r="A3197" i="1"/>
  <c r="A3198" i="1"/>
  <c r="B3198" i="1"/>
  <c r="A3199" i="1"/>
  <c r="B3199" i="1"/>
  <c r="A3200" i="1"/>
  <c r="B3200" i="1"/>
  <c r="A3201" i="1"/>
  <c r="A3202" i="1"/>
  <c r="B3202" i="1"/>
  <c r="A3203" i="1"/>
  <c r="B3203" i="1"/>
  <c r="A3204" i="1"/>
  <c r="A3205" i="1"/>
  <c r="A3206" i="1"/>
  <c r="B3206" i="1"/>
  <c r="A3207" i="1"/>
  <c r="A3208" i="1"/>
  <c r="A3209" i="1"/>
  <c r="A3210" i="1"/>
  <c r="B3210" i="1"/>
  <c r="A3211" i="1"/>
  <c r="B3211" i="1"/>
  <c r="A3212" i="1"/>
  <c r="B3212" i="1"/>
  <c r="A3213" i="1"/>
  <c r="B3213" i="1"/>
  <c r="A3214" i="1"/>
  <c r="A3215" i="1"/>
  <c r="B3215" i="1"/>
  <c r="A3216" i="1"/>
  <c r="B3216" i="1"/>
  <c r="A3217" i="1"/>
  <c r="B3217" i="1"/>
  <c r="A3218" i="1"/>
  <c r="B3218" i="1"/>
  <c r="A3219" i="1"/>
  <c r="B3219" i="1"/>
  <c r="A3220" i="1"/>
  <c r="B3220" i="1"/>
  <c r="A3221" i="1"/>
  <c r="B3221" i="1"/>
  <c r="A3222" i="1"/>
  <c r="A3223" i="1"/>
  <c r="B3223" i="1"/>
  <c r="A3224" i="1"/>
  <c r="B3224" i="1"/>
  <c r="A3225" i="1"/>
  <c r="B3225" i="1"/>
  <c r="A3226" i="1"/>
  <c r="B3226" i="1"/>
  <c r="A3227" i="1"/>
  <c r="B3227" i="1"/>
  <c r="A3228" i="1"/>
  <c r="B3228" i="1"/>
  <c r="A3229" i="1"/>
  <c r="B3229" i="1"/>
  <c r="A3230" i="1"/>
  <c r="B3230" i="1"/>
  <c r="A3231" i="1"/>
  <c r="B3231" i="1"/>
  <c r="A3232" i="1"/>
  <c r="B3232" i="1"/>
  <c r="A3233" i="1"/>
  <c r="B3233" i="1"/>
  <c r="A3234" i="1"/>
  <c r="B3234" i="1"/>
  <c r="A3235" i="1"/>
  <c r="B3235" i="1"/>
  <c r="A3236" i="1"/>
  <c r="B3236" i="1"/>
  <c r="A3237" i="1"/>
  <c r="B3237" i="1"/>
  <c r="A3238" i="1"/>
  <c r="A3239" i="1"/>
  <c r="A3240" i="1"/>
  <c r="A3241" i="1"/>
  <c r="A3242" i="1"/>
  <c r="A3243" i="1"/>
  <c r="A3244" i="1"/>
  <c r="A3245" i="1"/>
  <c r="B3245" i="1"/>
  <c r="A3246" i="1"/>
  <c r="B3246" i="1"/>
  <c r="A3247" i="1"/>
  <c r="A3248" i="1"/>
  <c r="A3249" i="1"/>
  <c r="B3249" i="1"/>
  <c r="A3250" i="1"/>
  <c r="B3250" i="1"/>
  <c r="A3251" i="1"/>
  <c r="B3251" i="1"/>
  <c r="A3252" i="1"/>
  <c r="B3252" i="1"/>
  <c r="A3253" i="1"/>
  <c r="B3253" i="1"/>
  <c r="A3254" i="1"/>
  <c r="B3254" i="1"/>
  <c r="A3255" i="1"/>
  <c r="B3255" i="1"/>
  <c r="A3256" i="1"/>
  <c r="B3256" i="1"/>
  <c r="A3257" i="1"/>
  <c r="A3258" i="1"/>
  <c r="B3258" i="1"/>
  <c r="A3259" i="1"/>
  <c r="A3260" i="1"/>
  <c r="B3260" i="1"/>
  <c r="A3261" i="1"/>
  <c r="B3261" i="1"/>
  <c r="A3262" i="1"/>
  <c r="B3262" i="1"/>
  <c r="A3263" i="1"/>
  <c r="B3263" i="1"/>
  <c r="A3264" i="1"/>
  <c r="A3265" i="1"/>
  <c r="B3265" i="1"/>
  <c r="A3266" i="1"/>
  <c r="B3266" i="1"/>
  <c r="A3267" i="1"/>
  <c r="B3267" i="1"/>
  <c r="A3268" i="1"/>
  <c r="B3268" i="1"/>
  <c r="A3269" i="1"/>
  <c r="B3269" i="1"/>
  <c r="A3270" i="1"/>
  <c r="B3270" i="1"/>
  <c r="A3271" i="1"/>
  <c r="A3272" i="1"/>
  <c r="B3272" i="1"/>
  <c r="A3273" i="1"/>
  <c r="B3273" i="1"/>
  <c r="A3274" i="1"/>
  <c r="B3274" i="1"/>
  <c r="A3275" i="1"/>
  <c r="A3276" i="1"/>
  <c r="B3276" i="1"/>
  <c r="A3277" i="1"/>
  <c r="A3278" i="1"/>
  <c r="B3278" i="1"/>
  <c r="A3279" i="1"/>
  <c r="B3279" i="1"/>
  <c r="A3280" i="1"/>
  <c r="B3280" i="1"/>
  <c r="A3281" i="1"/>
  <c r="B3281" i="1"/>
  <c r="A3282" i="1"/>
  <c r="B3282" i="1"/>
  <c r="A3283" i="1"/>
  <c r="B3283" i="1"/>
  <c r="A3284" i="1"/>
  <c r="B3284" i="1"/>
  <c r="A3285" i="1"/>
  <c r="B3285" i="1"/>
  <c r="A3286" i="1"/>
  <c r="B3286" i="1"/>
  <c r="A3287" i="1"/>
  <c r="A3288" i="1"/>
  <c r="B3288" i="1"/>
  <c r="A3289" i="1"/>
  <c r="B3289" i="1"/>
  <c r="A3290" i="1"/>
  <c r="B3290" i="1"/>
  <c r="A3291" i="1"/>
  <c r="B3291" i="1"/>
  <c r="A3292" i="1"/>
  <c r="A3293" i="1"/>
  <c r="A3294" i="1"/>
  <c r="B3294" i="1"/>
  <c r="A3295" i="1"/>
  <c r="A3296" i="1"/>
  <c r="B3296" i="1"/>
  <c r="A3297" i="1"/>
  <c r="A3298" i="1"/>
  <c r="B3298" i="1"/>
  <c r="A3299" i="1"/>
  <c r="B3299" i="1"/>
  <c r="A3300" i="1"/>
  <c r="B3300" i="1"/>
  <c r="A3301" i="1"/>
  <c r="A3302" i="1"/>
  <c r="B3302" i="1"/>
  <c r="A3303" i="1"/>
  <c r="B3303" i="1"/>
  <c r="A3304" i="1"/>
  <c r="B3304" i="1"/>
  <c r="A3305" i="1"/>
  <c r="B3305" i="1"/>
  <c r="A3306" i="1"/>
  <c r="B3306" i="1"/>
  <c r="A3307" i="1"/>
  <c r="B3307" i="1"/>
  <c r="A3308" i="1"/>
  <c r="B3308" i="1"/>
  <c r="A3309" i="1"/>
  <c r="A3310" i="1"/>
  <c r="A3311" i="1"/>
  <c r="A3312" i="1"/>
  <c r="A3313" i="1"/>
  <c r="B3313" i="1"/>
  <c r="A3314" i="1"/>
  <c r="B3314" i="1"/>
  <c r="A3315" i="1"/>
  <c r="B3315" i="1"/>
  <c r="A3316" i="1"/>
  <c r="B3316" i="1"/>
  <c r="A3317" i="1"/>
  <c r="B3317" i="1"/>
  <c r="A3318" i="1"/>
  <c r="B3318" i="1"/>
  <c r="A3319" i="1"/>
  <c r="B3319" i="1"/>
  <c r="A3320" i="1"/>
  <c r="B3320" i="1"/>
  <c r="A3321" i="1"/>
  <c r="B3321" i="1"/>
  <c r="A3322" i="1"/>
  <c r="B3322" i="1"/>
  <c r="A3323" i="1"/>
  <c r="B3323" i="1"/>
  <c r="A3324" i="1"/>
  <c r="B3324" i="1"/>
  <c r="A3325" i="1"/>
  <c r="B3325" i="1"/>
  <c r="A3326" i="1"/>
  <c r="B3326" i="1"/>
  <c r="A3327" i="1"/>
  <c r="B3327" i="1"/>
  <c r="A3328" i="1"/>
  <c r="B3328" i="1"/>
  <c r="A3329" i="1"/>
  <c r="B3329" i="1"/>
  <c r="A3330" i="1"/>
  <c r="B3330" i="1"/>
  <c r="A3331" i="1"/>
  <c r="B3331" i="1"/>
  <c r="A3332" i="1"/>
  <c r="B3332" i="1"/>
  <c r="A3333" i="1"/>
  <c r="B3333" i="1"/>
  <c r="A3334" i="1"/>
  <c r="B3334" i="1"/>
  <c r="A3335" i="1"/>
  <c r="B3335" i="1"/>
  <c r="A3336" i="1"/>
  <c r="B3336" i="1"/>
  <c r="A3337" i="1"/>
  <c r="B3337" i="1"/>
  <c r="A3338" i="1"/>
  <c r="B3338" i="1"/>
  <c r="A3339" i="1"/>
  <c r="B3339" i="1"/>
  <c r="A3340" i="1"/>
  <c r="A3341" i="1"/>
  <c r="A3342" i="1"/>
  <c r="B3342" i="1"/>
  <c r="A3343" i="1"/>
  <c r="B3343" i="1"/>
  <c r="A3344" i="1"/>
  <c r="B3344" i="1"/>
  <c r="A3345" i="1"/>
  <c r="B3345" i="1"/>
  <c r="A3346" i="1"/>
  <c r="B3346" i="1"/>
  <c r="A3347" i="1"/>
  <c r="A3348" i="1"/>
  <c r="B3348" i="1"/>
  <c r="A3349" i="1"/>
  <c r="B3349" i="1"/>
  <c r="A3350" i="1"/>
  <c r="B3350" i="1"/>
  <c r="A3351" i="1"/>
  <c r="B3351" i="1"/>
  <c r="A3352" i="1"/>
  <c r="B3352" i="1"/>
  <c r="A3353" i="1"/>
  <c r="B3353" i="1"/>
  <c r="A3354" i="1"/>
  <c r="B3354" i="1"/>
  <c r="A3355" i="1"/>
  <c r="B3355" i="1"/>
  <c r="A3356" i="1"/>
  <c r="A3357" i="1"/>
  <c r="B3357" i="1"/>
  <c r="A3358" i="1"/>
  <c r="B3358" i="1"/>
  <c r="A3359" i="1"/>
  <c r="B3359" i="1"/>
  <c r="A3360" i="1"/>
  <c r="B3360" i="1"/>
  <c r="A3361" i="1"/>
  <c r="B3361" i="1"/>
  <c r="A3362" i="1"/>
  <c r="B3362" i="1"/>
  <c r="A3363" i="1"/>
  <c r="B3363" i="1"/>
  <c r="A3364" i="1"/>
  <c r="B3364" i="1"/>
  <c r="A3365" i="1"/>
  <c r="A3366" i="1"/>
  <c r="B3366" i="1"/>
  <c r="A3367" i="1"/>
  <c r="A3368" i="1"/>
  <c r="B3368" i="1"/>
  <c r="A3369" i="1"/>
  <c r="B3369" i="1"/>
  <c r="A3370" i="1"/>
  <c r="B3370" i="1"/>
  <c r="A3371" i="1"/>
  <c r="B3371" i="1"/>
  <c r="A3372" i="1"/>
  <c r="B3372" i="1"/>
  <c r="A3373" i="1"/>
  <c r="B3373" i="1"/>
  <c r="A3374" i="1"/>
  <c r="A3375" i="1"/>
  <c r="B3375" i="1"/>
  <c r="A3376" i="1"/>
  <c r="B3376" i="1"/>
  <c r="A3377" i="1"/>
  <c r="B3377" i="1"/>
  <c r="A3378" i="1"/>
  <c r="B3378" i="1"/>
  <c r="A3379" i="1"/>
  <c r="B3379" i="1"/>
  <c r="A3380" i="1"/>
  <c r="B3380" i="1"/>
  <c r="A3381" i="1"/>
  <c r="B3381" i="1"/>
  <c r="A3382" i="1"/>
  <c r="B3382" i="1"/>
  <c r="A3383" i="1"/>
  <c r="B3383" i="1"/>
  <c r="A3384" i="1"/>
  <c r="B3384" i="1"/>
  <c r="A3385" i="1"/>
  <c r="B3385" i="1"/>
  <c r="A3386" i="1"/>
  <c r="B3386" i="1"/>
  <c r="A3387" i="1"/>
  <c r="B3387" i="1"/>
  <c r="A3388" i="1"/>
  <c r="B3388" i="1"/>
  <c r="A3389" i="1"/>
  <c r="A3390" i="1"/>
  <c r="A3391" i="1"/>
  <c r="B3391" i="1"/>
  <c r="A3392" i="1"/>
  <c r="B3392" i="1"/>
  <c r="A3393" i="1"/>
  <c r="A3394" i="1"/>
  <c r="B3394" i="1"/>
  <c r="A3395" i="1"/>
  <c r="B3395" i="1"/>
  <c r="A3396" i="1"/>
  <c r="B3396" i="1"/>
  <c r="A3397" i="1"/>
  <c r="B3397" i="1"/>
  <c r="A3398" i="1"/>
  <c r="B3398" i="1"/>
  <c r="A3399" i="1"/>
  <c r="B3399" i="1"/>
  <c r="A3400" i="1"/>
  <c r="B3400" i="1"/>
  <c r="A3401" i="1"/>
  <c r="B3401" i="1"/>
  <c r="A3402" i="1"/>
  <c r="B3402" i="1"/>
  <c r="A3403" i="1"/>
  <c r="B3403" i="1"/>
  <c r="A3404" i="1"/>
  <c r="B3404" i="1"/>
  <c r="A3405" i="1"/>
  <c r="B3405" i="1"/>
  <c r="A3406" i="1"/>
  <c r="B3406" i="1"/>
  <c r="A3407" i="1"/>
  <c r="B3407" i="1"/>
  <c r="A3408" i="1"/>
  <c r="A3409" i="1"/>
  <c r="A3410" i="1"/>
  <c r="B3410" i="1"/>
  <c r="A3411" i="1"/>
  <c r="B3411" i="1"/>
  <c r="A3412" i="1"/>
  <c r="B3412" i="1"/>
  <c r="A3413" i="1"/>
  <c r="B3413" i="1"/>
  <c r="A3414" i="1"/>
  <c r="A3415" i="1"/>
  <c r="B3415" i="1"/>
  <c r="A3416" i="1"/>
  <c r="B3416" i="1"/>
  <c r="A3417" i="1"/>
  <c r="A3418" i="1"/>
  <c r="B3418" i="1"/>
  <c r="A3419" i="1"/>
  <c r="A3420" i="1"/>
  <c r="A3421" i="1"/>
  <c r="A3422" i="1"/>
  <c r="B3422" i="1"/>
  <c r="A3423" i="1"/>
  <c r="B3423" i="1"/>
  <c r="A3424" i="1"/>
  <c r="B3424" i="1"/>
  <c r="A3425" i="1"/>
  <c r="A3426" i="1"/>
  <c r="B3426" i="1"/>
  <c r="A3427" i="1"/>
  <c r="B3427" i="1"/>
  <c r="A3428" i="1"/>
  <c r="B3428" i="1"/>
  <c r="A3429" i="1"/>
  <c r="B3429" i="1"/>
  <c r="A3430" i="1"/>
  <c r="A3431" i="1"/>
  <c r="B3431" i="1"/>
  <c r="A3432" i="1"/>
  <c r="B3432" i="1"/>
  <c r="A3433" i="1"/>
  <c r="B3433" i="1"/>
  <c r="A3434" i="1"/>
  <c r="B3434" i="1"/>
  <c r="A3435" i="1"/>
  <c r="A3436" i="1"/>
  <c r="B3436" i="1"/>
  <c r="A3437" i="1"/>
  <c r="A3438" i="1"/>
  <c r="B3438" i="1"/>
  <c r="A3439" i="1"/>
  <c r="A3440" i="1"/>
  <c r="B3440" i="1"/>
  <c r="A3441" i="1"/>
  <c r="B3441" i="1"/>
  <c r="A3442" i="1"/>
  <c r="B3442" i="1"/>
  <c r="A3443" i="1"/>
  <c r="B3443" i="1"/>
  <c r="A3444" i="1"/>
  <c r="B3444" i="1"/>
  <c r="A3445" i="1"/>
  <c r="B3445" i="1"/>
  <c r="A3446" i="1"/>
  <c r="B3446" i="1"/>
  <c r="A3447" i="1"/>
  <c r="B3447" i="1"/>
  <c r="A3448" i="1"/>
  <c r="B3448" i="1"/>
  <c r="A3449" i="1"/>
  <c r="A3450" i="1"/>
  <c r="B3450" i="1"/>
  <c r="A3451" i="1"/>
  <c r="B3451" i="1"/>
  <c r="A3452" i="1"/>
  <c r="B3452" i="1"/>
  <c r="A3453" i="1"/>
  <c r="B3453" i="1"/>
  <c r="A3454" i="1"/>
  <c r="B3454" i="1"/>
  <c r="A3455" i="1"/>
  <c r="B3455" i="1"/>
  <c r="A3456" i="1"/>
  <c r="B3456" i="1"/>
  <c r="A3457" i="1"/>
  <c r="B3457" i="1"/>
  <c r="A3458" i="1"/>
  <c r="B3458" i="1"/>
  <c r="A3459" i="1"/>
  <c r="B3459" i="1"/>
  <c r="A3460" i="1"/>
  <c r="A3461" i="1"/>
  <c r="B3461" i="1"/>
  <c r="A3462" i="1"/>
  <c r="B3462" i="1"/>
  <c r="A3463" i="1"/>
  <c r="B3463" i="1"/>
  <c r="A3464" i="1"/>
  <c r="A3465" i="1"/>
  <c r="A3466" i="1"/>
  <c r="A3467" i="1"/>
  <c r="A3468" i="1"/>
  <c r="B3468" i="1"/>
  <c r="A3469" i="1"/>
  <c r="B3469" i="1"/>
  <c r="A3470" i="1"/>
  <c r="A3471" i="1"/>
  <c r="B3471" i="1"/>
  <c r="A3472" i="1"/>
  <c r="A3473" i="1"/>
  <c r="A3474" i="1"/>
  <c r="A3475" i="1"/>
  <c r="B3475" i="1"/>
  <c r="A3476" i="1"/>
  <c r="A3477" i="1"/>
  <c r="A3478" i="1"/>
  <c r="B3478" i="1"/>
  <c r="A3479" i="1"/>
  <c r="A3480" i="1"/>
  <c r="A3481" i="1"/>
  <c r="A3482" i="1"/>
  <c r="A3483" i="1"/>
  <c r="A3484" i="1"/>
  <c r="B3484" i="1"/>
  <c r="A3485" i="1"/>
  <c r="B3485" i="1"/>
  <c r="A3486" i="1"/>
  <c r="A3487" i="1"/>
  <c r="B3487" i="1"/>
  <c r="A3488" i="1"/>
  <c r="B3488" i="1"/>
  <c r="A3489" i="1"/>
  <c r="B3489" i="1"/>
  <c r="A3490" i="1"/>
  <c r="B3490" i="1"/>
  <c r="A3491" i="1"/>
  <c r="B3491" i="1"/>
  <c r="A3492" i="1"/>
  <c r="A3493" i="1"/>
  <c r="B3493" i="1"/>
  <c r="A3494" i="1"/>
  <c r="A3495" i="1"/>
  <c r="B3495" i="1"/>
  <c r="A3496" i="1"/>
  <c r="A3497" i="1"/>
  <c r="A3498" i="1"/>
  <c r="B3498" i="1"/>
  <c r="A3499" i="1"/>
  <c r="B3499" i="1"/>
  <c r="A3500" i="1"/>
  <c r="B3500" i="1"/>
  <c r="A3501" i="1"/>
  <c r="A3502" i="1"/>
  <c r="B3502" i="1"/>
  <c r="A3503" i="1"/>
  <c r="B3503" i="1"/>
  <c r="A3504" i="1"/>
  <c r="B3504" i="1"/>
  <c r="A3505" i="1"/>
  <c r="B3505" i="1"/>
  <c r="A3506" i="1"/>
  <c r="B3506" i="1"/>
  <c r="A3507" i="1"/>
  <c r="B3507" i="1"/>
  <c r="A3508" i="1"/>
  <c r="B3508" i="1"/>
  <c r="A3509" i="1"/>
  <c r="B3509" i="1"/>
  <c r="A3510" i="1"/>
  <c r="B3510" i="1"/>
  <c r="A3511" i="1"/>
  <c r="B3511" i="1"/>
  <c r="A3512" i="1"/>
  <c r="B3512" i="1"/>
  <c r="A3513" i="1"/>
  <c r="A3514" i="1"/>
  <c r="B3514" i="1"/>
  <c r="A3515" i="1"/>
  <c r="B3515" i="1"/>
  <c r="A3516" i="1"/>
  <c r="B3516" i="1"/>
  <c r="A3517" i="1"/>
  <c r="B3517" i="1"/>
  <c r="A3518" i="1"/>
  <c r="B3518" i="1"/>
  <c r="A3519" i="1"/>
  <c r="A3520" i="1"/>
  <c r="B3520" i="1"/>
  <c r="A3521" i="1"/>
  <c r="B3521" i="1"/>
  <c r="A3522" i="1"/>
  <c r="A3523" i="1"/>
  <c r="B3523" i="1"/>
  <c r="A3524" i="1"/>
  <c r="B3524" i="1"/>
  <c r="A3525" i="1"/>
  <c r="A3526" i="1"/>
  <c r="B3526" i="1"/>
  <c r="A3527" i="1"/>
  <c r="B3527" i="1"/>
  <c r="A3528" i="1"/>
  <c r="B3528" i="1"/>
  <c r="A3529" i="1"/>
  <c r="B3529" i="1"/>
  <c r="A3530" i="1"/>
  <c r="B3530" i="1"/>
  <c r="A3531" i="1"/>
  <c r="B3531" i="1"/>
  <c r="A3532" i="1"/>
  <c r="B3532" i="1"/>
  <c r="A3533" i="1"/>
  <c r="A3534" i="1"/>
  <c r="B3534" i="1"/>
  <c r="A3535" i="1"/>
  <c r="B3535" i="1"/>
  <c r="A3536" i="1"/>
  <c r="B3536" i="1"/>
  <c r="A3537" i="1"/>
  <c r="B3537" i="1"/>
  <c r="A3538" i="1"/>
  <c r="B3538" i="1"/>
  <c r="A3539" i="1"/>
  <c r="B3539" i="1"/>
  <c r="A3540" i="1"/>
  <c r="B3540" i="1"/>
  <c r="A3541" i="1"/>
  <c r="B3541" i="1"/>
  <c r="A3542" i="1"/>
  <c r="A3543" i="1"/>
  <c r="B3543" i="1"/>
  <c r="A3544" i="1"/>
  <c r="B3544" i="1"/>
  <c r="A3545" i="1"/>
  <c r="A3546" i="1"/>
  <c r="B3546" i="1"/>
  <c r="A3547" i="1"/>
  <c r="B3547" i="1"/>
  <c r="A3548" i="1"/>
  <c r="B3548" i="1"/>
  <c r="A3549" i="1"/>
  <c r="B3549" i="1"/>
  <c r="A3550" i="1"/>
  <c r="A3551" i="1"/>
  <c r="A3552" i="1"/>
  <c r="B3552" i="1"/>
  <c r="A3553" i="1"/>
  <c r="B3553" i="1"/>
  <c r="A3554" i="1"/>
  <c r="A3555" i="1"/>
  <c r="B3555" i="1"/>
  <c r="A3556" i="1"/>
  <c r="B3556" i="1"/>
  <c r="A3557" i="1"/>
  <c r="B3557" i="1"/>
  <c r="A3558" i="1"/>
  <c r="B3558" i="1"/>
  <c r="A3559" i="1"/>
  <c r="A3560" i="1"/>
  <c r="B3560" i="1"/>
  <c r="A3561" i="1"/>
  <c r="A3562" i="1"/>
  <c r="B3562" i="1"/>
  <c r="A3563" i="1"/>
  <c r="B3563" i="1"/>
  <c r="A3564" i="1"/>
  <c r="B3564" i="1"/>
  <c r="A3565" i="1"/>
  <c r="B3565" i="1"/>
  <c r="A3566" i="1"/>
  <c r="B3566" i="1"/>
  <c r="A3567" i="1"/>
  <c r="B3567" i="1"/>
  <c r="A3568" i="1"/>
  <c r="B3568" i="1"/>
  <c r="A3569" i="1"/>
  <c r="B3569" i="1"/>
  <c r="A3570" i="1"/>
  <c r="B3570" i="1"/>
  <c r="A3571" i="1"/>
  <c r="A3572" i="1"/>
  <c r="A3573" i="1"/>
  <c r="B3573" i="1"/>
  <c r="A3574" i="1"/>
  <c r="B3574" i="1"/>
  <c r="A3575" i="1"/>
  <c r="B3575" i="1"/>
  <c r="A3576" i="1"/>
  <c r="B3576" i="1"/>
  <c r="A3577" i="1"/>
  <c r="B3577" i="1"/>
  <c r="A3578" i="1"/>
  <c r="B3578" i="1"/>
  <c r="A3579" i="1"/>
  <c r="B3579" i="1"/>
  <c r="A3580" i="1"/>
  <c r="B3580" i="1"/>
  <c r="A3581" i="1"/>
  <c r="B3581" i="1"/>
  <c r="A3582" i="1"/>
  <c r="B3582" i="1"/>
  <c r="A3583" i="1"/>
  <c r="B3583" i="1"/>
  <c r="A3584" i="1"/>
  <c r="B3584" i="1"/>
  <c r="A3585" i="1"/>
  <c r="B3585" i="1"/>
  <c r="A3586" i="1"/>
  <c r="A3587" i="1"/>
  <c r="A3588" i="1"/>
  <c r="A3589" i="1"/>
  <c r="A3590" i="1"/>
  <c r="A3591" i="1"/>
  <c r="A3592" i="1"/>
  <c r="A3593" i="1"/>
  <c r="A3594" i="1"/>
  <c r="B3594" i="1"/>
  <c r="A3595" i="1"/>
  <c r="A3596" i="1"/>
  <c r="B3596" i="1"/>
  <c r="A3597" i="1"/>
  <c r="B3597" i="1"/>
  <c r="A3598" i="1"/>
  <c r="B3598" i="1"/>
  <c r="A3599" i="1"/>
  <c r="B3599" i="1"/>
  <c r="A3600" i="1"/>
  <c r="B3600" i="1"/>
  <c r="A3601" i="1"/>
  <c r="B3601" i="1"/>
  <c r="A3602" i="1"/>
  <c r="B3602" i="1"/>
  <c r="A3603" i="1"/>
  <c r="B3603" i="1"/>
  <c r="A3604" i="1"/>
  <c r="B3604" i="1"/>
  <c r="A3605" i="1"/>
  <c r="A3606" i="1"/>
  <c r="B3606" i="1"/>
  <c r="A3607" i="1"/>
  <c r="B3607" i="1"/>
  <c r="A3608" i="1"/>
  <c r="B3608" i="1"/>
  <c r="A3609" i="1"/>
  <c r="B3609" i="1"/>
  <c r="A3610" i="1"/>
  <c r="B3610" i="1"/>
  <c r="A3611" i="1"/>
  <c r="B3611" i="1"/>
  <c r="A3612" i="1"/>
  <c r="B3612" i="1"/>
  <c r="A3613" i="1"/>
  <c r="B3613" i="1"/>
  <c r="A3614" i="1"/>
  <c r="B3614" i="1"/>
  <c r="A3615" i="1"/>
  <c r="B3615" i="1"/>
  <c r="A3616" i="1"/>
  <c r="A3617" i="1"/>
  <c r="B3617" i="1"/>
  <c r="A3618" i="1"/>
  <c r="B3618" i="1"/>
  <c r="A3619" i="1"/>
  <c r="B3619" i="1"/>
  <c r="A3620" i="1"/>
  <c r="B3620" i="1"/>
  <c r="A3621" i="1"/>
  <c r="B3621" i="1"/>
  <c r="A3622" i="1"/>
  <c r="B3622" i="1"/>
  <c r="A3623" i="1"/>
  <c r="B3623" i="1"/>
  <c r="A3624" i="1"/>
  <c r="B3624" i="1"/>
  <c r="A3625" i="1"/>
  <c r="B3625" i="1"/>
  <c r="A3626" i="1"/>
  <c r="B3626" i="1"/>
  <c r="A3627" i="1"/>
  <c r="B3627" i="1"/>
  <c r="A3628" i="1"/>
  <c r="B3628" i="1"/>
  <c r="A3629" i="1"/>
  <c r="B3629" i="1"/>
  <c r="A3630" i="1"/>
  <c r="B3630" i="1"/>
  <c r="A3631" i="1"/>
  <c r="B3631" i="1"/>
  <c r="A3632" i="1"/>
  <c r="A3633" i="1"/>
  <c r="B3633" i="1"/>
  <c r="A3634" i="1"/>
  <c r="A3635" i="1"/>
  <c r="B3635" i="1"/>
  <c r="A3636" i="1"/>
  <c r="B3636" i="1"/>
  <c r="A3637" i="1"/>
  <c r="B3637" i="1"/>
  <c r="A3638" i="1"/>
  <c r="A3639" i="1"/>
  <c r="B3639" i="1"/>
  <c r="A3640" i="1"/>
  <c r="B3640" i="1"/>
  <c r="A3641" i="1"/>
  <c r="B3641" i="1"/>
  <c r="A3642" i="1"/>
  <c r="B3642" i="1"/>
  <c r="A3643" i="1"/>
  <c r="A3644" i="1"/>
  <c r="B3644" i="1"/>
  <c r="A3645" i="1"/>
  <c r="A3646" i="1"/>
  <c r="B3646" i="1"/>
  <c r="A3647" i="1"/>
  <c r="B3647" i="1"/>
  <c r="A3648" i="1"/>
  <c r="B3648" i="1"/>
  <c r="A3649" i="1"/>
  <c r="B3649" i="1"/>
  <c r="A3650" i="1"/>
  <c r="B3650" i="1"/>
  <c r="A3651" i="1"/>
  <c r="B3651" i="1"/>
  <c r="A3652" i="1"/>
  <c r="B3652" i="1"/>
  <c r="A3653" i="1"/>
  <c r="B3653" i="1"/>
  <c r="A3654" i="1"/>
  <c r="B3654" i="1"/>
  <c r="A3655" i="1"/>
  <c r="B3655" i="1"/>
  <c r="A3656" i="1"/>
  <c r="A3657" i="1"/>
  <c r="B3657" i="1"/>
  <c r="A3658" i="1"/>
  <c r="B3658" i="1"/>
  <c r="A3659" i="1"/>
  <c r="B3659" i="1"/>
  <c r="A3660" i="1"/>
  <c r="B3660" i="1"/>
  <c r="A3661" i="1"/>
  <c r="B3661" i="1"/>
  <c r="A3662" i="1"/>
  <c r="B3662" i="1"/>
  <c r="A3663" i="1"/>
  <c r="B3663" i="1"/>
  <c r="A3664" i="1"/>
  <c r="B3664" i="1"/>
  <c r="A3665" i="1"/>
  <c r="B3665" i="1"/>
  <c r="A3666" i="1"/>
  <c r="B3666" i="1"/>
  <c r="A3667" i="1"/>
  <c r="B3667" i="1"/>
  <c r="A3668" i="1"/>
  <c r="B3668" i="1"/>
  <c r="A3669" i="1"/>
  <c r="B3669" i="1"/>
  <c r="A3670" i="1"/>
  <c r="B3670" i="1"/>
  <c r="A3671" i="1"/>
  <c r="B3671" i="1"/>
  <c r="A3672" i="1"/>
  <c r="B3672" i="1"/>
  <c r="A3673" i="1"/>
  <c r="B3673" i="1"/>
  <c r="A3674" i="1"/>
  <c r="A3675" i="1"/>
  <c r="B3675" i="1"/>
  <c r="A3676" i="1"/>
  <c r="B3676" i="1"/>
  <c r="A3677" i="1"/>
  <c r="B3677" i="1"/>
  <c r="A3678" i="1"/>
  <c r="B3678" i="1"/>
  <c r="A3679" i="1"/>
  <c r="B3679" i="1"/>
  <c r="A3680" i="1"/>
  <c r="A3681" i="1"/>
  <c r="B3681" i="1"/>
  <c r="A3682" i="1"/>
  <c r="B3682" i="1"/>
  <c r="A3683" i="1"/>
  <c r="B3683" i="1"/>
  <c r="A3684" i="1"/>
  <c r="B3684" i="1"/>
  <c r="A3685" i="1"/>
  <c r="B3685" i="1"/>
  <c r="A3686" i="1"/>
  <c r="B3686" i="1"/>
  <c r="A3687" i="1"/>
  <c r="B3687" i="1"/>
  <c r="A3688" i="1"/>
  <c r="B3688" i="1"/>
  <c r="A3689" i="1"/>
  <c r="B3689" i="1"/>
  <c r="A3690" i="1"/>
  <c r="B3690" i="1"/>
  <c r="A3691" i="1"/>
  <c r="B3691" i="1"/>
  <c r="A3692" i="1"/>
  <c r="B3692" i="1"/>
  <c r="A3693" i="1"/>
  <c r="B3693" i="1"/>
  <c r="A3694" i="1"/>
  <c r="B3694" i="1"/>
  <c r="A3695" i="1"/>
  <c r="B3695" i="1"/>
  <c r="A3696" i="1"/>
  <c r="B3696" i="1"/>
  <c r="A3697" i="1"/>
  <c r="B3697" i="1"/>
  <c r="A3698" i="1"/>
  <c r="B3698" i="1"/>
  <c r="A3699" i="1"/>
  <c r="B3699" i="1"/>
  <c r="A3700" i="1"/>
  <c r="B3700" i="1"/>
  <c r="A3701" i="1"/>
  <c r="B3701" i="1"/>
  <c r="A3702" i="1"/>
  <c r="A3703" i="1"/>
  <c r="B3703" i="1"/>
  <c r="A3704" i="1"/>
  <c r="B3704" i="1"/>
  <c r="A3705" i="1"/>
  <c r="B3705" i="1"/>
  <c r="A3706" i="1"/>
  <c r="A3707" i="1"/>
  <c r="A3708" i="1"/>
  <c r="B3708" i="1"/>
  <c r="A3709" i="1"/>
  <c r="B3709" i="1"/>
  <c r="A3710" i="1"/>
  <c r="B3710" i="1"/>
  <c r="A3711" i="1"/>
  <c r="B3711" i="1"/>
  <c r="A3712" i="1"/>
  <c r="A3713" i="1"/>
  <c r="B3713" i="1"/>
  <c r="A3714" i="1"/>
  <c r="B3714" i="1"/>
  <c r="A3715" i="1"/>
  <c r="B3715" i="1"/>
  <c r="A3716" i="1"/>
  <c r="B3716" i="1"/>
  <c r="A3717" i="1"/>
  <c r="B3717" i="1"/>
  <c r="A3718" i="1"/>
  <c r="B3718" i="1"/>
  <c r="A3719" i="1"/>
  <c r="B3719" i="1"/>
  <c r="A3720" i="1"/>
  <c r="B3720" i="1"/>
  <c r="A3721" i="1"/>
  <c r="B3721" i="1"/>
  <c r="A3722" i="1"/>
  <c r="B3722" i="1"/>
  <c r="A3723" i="1"/>
  <c r="B3723" i="1"/>
  <c r="A3724" i="1"/>
  <c r="B3724" i="1"/>
  <c r="A3725" i="1"/>
  <c r="B3725" i="1"/>
  <c r="A3726" i="1"/>
  <c r="B3726" i="1"/>
  <c r="A3727" i="1"/>
  <c r="B3727" i="1"/>
  <c r="A3728" i="1"/>
  <c r="B3728" i="1"/>
  <c r="A3729" i="1"/>
  <c r="B3729" i="1"/>
  <c r="A3730" i="1"/>
  <c r="B3730" i="1"/>
  <c r="A3731" i="1"/>
  <c r="B3731" i="1"/>
  <c r="A3732" i="1"/>
  <c r="B3732" i="1"/>
  <c r="A3733" i="1"/>
  <c r="B3733" i="1"/>
  <c r="A3734" i="1"/>
  <c r="B3734" i="1"/>
  <c r="A3735" i="1"/>
  <c r="B3735" i="1"/>
  <c r="A3736" i="1"/>
  <c r="B3736" i="1"/>
  <c r="A3737" i="1"/>
  <c r="A3738" i="1"/>
  <c r="B3738" i="1"/>
  <c r="A3739" i="1"/>
  <c r="B3739" i="1"/>
  <c r="A3740" i="1"/>
  <c r="B3740" i="1"/>
  <c r="A3741" i="1"/>
  <c r="B3741" i="1"/>
  <c r="A3742" i="1"/>
  <c r="B3742" i="1"/>
  <c r="A3743" i="1"/>
  <c r="B3743" i="1"/>
  <c r="A3744" i="1"/>
  <c r="B3744" i="1"/>
  <c r="A3745" i="1"/>
  <c r="B3745" i="1"/>
  <c r="A3746" i="1"/>
  <c r="B3746" i="1"/>
  <c r="A3747" i="1"/>
  <c r="B3747" i="1"/>
  <c r="A3748" i="1"/>
  <c r="B3748" i="1"/>
  <c r="A3749" i="1"/>
  <c r="B3749" i="1"/>
  <c r="A3750" i="1"/>
  <c r="A3751" i="1"/>
  <c r="B3751" i="1"/>
  <c r="A3752" i="1"/>
  <c r="B3752" i="1"/>
  <c r="A3753" i="1"/>
  <c r="B3753" i="1"/>
  <c r="A3754" i="1"/>
  <c r="B3754" i="1"/>
  <c r="A3755" i="1"/>
  <c r="B3755" i="1"/>
  <c r="A3756" i="1"/>
  <c r="B3756" i="1"/>
  <c r="A3757" i="1"/>
  <c r="B3757" i="1"/>
  <c r="A3758" i="1"/>
  <c r="B3758" i="1"/>
  <c r="A3759" i="1"/>
  <c r="B3759" i="1"/>
  <c r="A3760" i="1"/>
  <c r="B3760" i="1"/>
  <c r="A3761" i="1"/>
  <c r="B3761" i="1"/>
  <c r="A3762" i="1"/>
  <c r="B3762" i="1"/>
  <c r="A3763" i="1"/>
  <c r="A3764" i="1"/>
  <c r="A3765" i="1"/>
  <c r="B3765" i="1"/>
  <c r="A3766" i="1"/>
  <c r="B3766" i="1"/>
  <c r="A3767" i="1"/>
  <c r="B3767" i="1"/>
  <c r="A3768" i="1"/>
  <c r="B3768" i="1"/>
  <c r="A3769" i="1"/>
  <c r="B3769" i="1"/>
  <c r="A3770" i="1"/>
  <c r="B3770" i="1"/>
  <c r="A3771" i="1"/>
  <c r="B3771" i="1"/>
  <c r="A3772" i="1"/>
  <c r="B3772" i="1"/>
  <c r="A3773" i="1"/>
  <c r="A3774" i="1"/>
  <c r="B3774" i="1"/>
  <c r="A3775" i="1"/>
  <c r="B3775" i="1"/>
  <c r="A3776" i="1"/>
  <c r="B3776" i="1"/>
  <c r="A3777" i="1"/>
  <c r="B3777" i="1"/>
  <c r="A3778" i="1"/>
  <c r="B3778" i="1"/>
  <c r="A3779" i="1"/>
  <c r="B3779" i="1"/>
  <c r="A3780" i="1"/>
  <c r="B3780" i="1"/>
  <c r="A3781" i="1"/>
  <c r="A3782" i="1"/>
  <c r="A3783" i="1"/>
  <c r="B3783" i="1"/>
  <c r="A3784" i="1"/>
  <c r="B3784" i="1"/>
  <c r="A3785" i="1"/>
  <c r="B3785" i="1"/>
  <c r="A3786" i="1"/>
  <c r="B3786" i="1"/>
  <c r="A3787" i="1"/>
  <c r="B3787" i="1"/>
  <c r="A3788" i="1"/>
  <c r="A3789" i="1"/>
  <c r="B3789" i="1"/>
  <c r="A3790" i="1"/>
  <c r="B3790" i="1"/>
  <c r="A3791" i="1"/>
  <c r="B3791" i="1"/>
  <c r="A3792" i="1"/>
  <c r="B3792" i="1"/>
  <c r="A3793" i="1"/>
  <c r="B3793" i="1"/>
  <c r="A3794" i="1"/>
  <c r="B3794" i="1"/>
  <c r="A3795" i="1"/>
  <c r="B3795" i="1"/>
  <c r="A3796" i="1"/>
  <c r="B3796" i="1"/>
  <c r="A3797" i="1"/>
  <c r="B3797" i="1"/>
  <c r="A3798" i="1"/>
  <c r="B3798" i="1"/>
  <c r="A3799" i="1"/>
  <c r="B3799" i="1"/>
  <c r="A3800" i="1"/>
  <c r="B3800" i="1"/>
  <c r="A3801" i="1"/>
  <c r="A3802" i="1"/>
  <c r="B3802" i="1"/>
  <c r="A3803" i="1"/>
  <c r="B3803" i="1"/>
  <c r="A3804" i="1"/>
  <c r="B3804" i="1"/>
  <c r="A3805" i="1"/>
  <c r="A3806" i="1"/>
  <c r="B3806" i="1"/>
  <c r="A3807" i="1"/>
  <c r="A3808" i="1"/>
  <c r="B3808" i="1"/>
  <c r="A3809" i="1"/>
  <c r="A3810" i="1"/>
  <c r="B3810" i="1"/>
  <c r="A3811" i="1"/>
  <c r="A3812" i="1"/>
  <c r="B3812" i="1"/>
  <c r="A3813" i="1"/>
  <c r="B3813" i="1"/>
  <c r="A3814" i="1"/>
  <c r="B3814" i="1"/>
  <c r="A3815" i="1"/>
  <c r="B3815" i="1"/>
  <c r="A3816" i="1"/>
  <c r="B3816" i="1"/>
  <c r="A3817" i="1"/>
  <c r="B3817" i="1"/>
  <c r="A3818" i="1"/>
  <c r="B3818" i="1"/>
  <c r="A3819" i="1"/>
  <c r="B3819" i="1"/>
  <c r="A3820" i="1"/>
  <c r="B3820" i="1"/>
  <c r="A3821" i="1"/>
  <c r="A3822" i="1"/>
  <c r="B3822" i="1"/>
  <c r="A3823" i="1"/>
  <c r="B3823" i="1"/>
  <c r="A3824" i="1"/>
  <c r="A3825" i="1"/>
  <c r="A3826" i="1"/>
  <c r="B3826" i="1"/>
  <c r="A3827" i="1"/>
  <c r="B3827" i="1"/>
  <c r="A3828" i="1"/>
  <c r="B3828" i="1"/>
  <c r="A3829" i="1"/>
  <c r="A3830" i="1"/>
  <c r="B3830" i="1"/>
  <c r="A3831" i="1"/>
  <c r="B3831" i="1"/>
  <c r="A3832" i="1"/>
  <c r="A3833" i="1"/>
  <c r="A3834" i="1"/>
  <c r="B3834" i="1"/>
  <c r="A3835" i="1"/>
  <c r="B3835" i="1"/>
  <c r="A3836" i="1"/>
  <c r="A3837" i="1"/>
  <c r="A3838" i="1"/>
  <c r="A3839" i="1"/>
  <c r="B3839" i="1"/>
  <c r="A3840" i="1"/>
  <c r="B3840" i="1"/>
  <c r="A3841" i="1"/>
  <c r="A3842" i="1"/>
  <c r="A3843" i="1"/>
  <c r="A3844" i="1"/>
  <c r="B3844" i="1"/>
  <c r="A3845" i="1"/>
  <c r="B3845" i="1"/>
  <c r="A3846" i="1"/>
  <c r="B3846" i="1"/>
  <c r="A3847" i="1"/>
  <c r="A3848" i="1"/>
  <c r="B3848" i="1"/>
  <c r="A3849" i="1"/>
  <c r="B3849" i="1"/>
  <c r="A3850" i="1"/>
  <c r="B3850" i="1"/>
  <c r="A3851" i="1"/>
  <c r="B3851" i="1"/>
  <c r="A3852" i="1"/>
  <c r="B3852" i="1"/>
  <c r="A3853" i="1"/>
  <c r="B3853" i="1"/>
  <c r="A3854" i="1"/>
  <c r="B3854" i="1"/>
  <c r="A3855" i="1"/>
  <c r="B3855" i="1"/>
  <c r="A3856" i="1"/>
  <c r="A3857" i="1"/>
  <c r="B3857" i="1"/>
  <c r="A3858" i="1"/>
  <c r="B3858" i="1"/>
  <c r="A3859" i="1"/>
  <c r="B3859" i="1"/>
  <c r="A3860" i="1"/>
  <c r="A3861" i="1"/>
  <c r="B3861" i="1"/>
  <c r="A3862" i="1"/>
  <c r="B3862" i="1"/>
  <c r="A3863" i="1"/>
  <c r="B3863" i="1"/>
  <c r="A3864" i="1"/>
  <c r="A3865" i="1"/>
  <c r="A3866" i="1"/>
  <c r="B3866" i="1"/>
  <c r="A3867" i="1"/>
  <c r="B3867" i="1"/>
  <c r="A3868" i="1"/>
  <c r="B3868" i="1"/>
  <c r="A3869" i="1"/>
  <c r="B3869" i="1"/>
  <c r="A3870" i="1"/>
  <c r="B3870" i="1"/>
  <c r="A3871" i="1"/>
  <c r="A3872" i="1"/>
  <c r="B3872" i="1"/>
  <c r="A3873" i="1"/>
  <c r="B3873" i="1"/>
  <c r="A3874" i="1"/>
  <c r="B3874" i="1"/>
  <c r="A3875" i="1"/>
  <c r="B3875" i="1"/>
  <c r="A3876" i="1"/>
  <c r="A3877" i="1"/>
  <c r="B3877" i="1"/>
  <c r="A3878" i="1"/>
  <c r="B3878" i="1"/>
  <c r="A3879" i="1"/>
  <c r="B3879" i="1"/>
  <c r="A3880" i="1"/>
  <c r="B3880" i="1"/>
  <c r="A3881" i="1"/>
  <c r="B3881" i="1"/>
  <c r="A3882" i="1"/>
  <c r="B3882" i="1"/>
  <c r="A3883" i="1"/>
  <c r="B3883" i="1"/>
  <c r="A3884" i="1"/>
  <c r="B3884" i="1"/>
  <c r="A3885" i="1"/>
  <c r="B3885" i="1"/>
  <c r="A3886" i="1"/>
  <c r="B3886" i="1"/>
  <c r="A3887" i="1"/>
  <c r="B3887" i="1"/>
  <c r="A3888" i="1"/>
  <c r="B3888" i="1"/>
  <c r="A3889" i="1"/>
  <c r="B3889" i="1"/>
  <c r="A3890" i="1"/>
  <c r="A3891" i="1"/>
  <c r="A3892" i="1"/>
  <c r="A3893" i="1"/>
  <c r="A3894" i="1"/>
  <c r="B3894" i="1"/>
  <c r="A3895" i="1"/>
  <c r="B3895" i="1"/>
  <c r="A3896" i="1"/>
  <c r="A3897" i="1"/>
  <c r="A3898" i="1"/>
  <c r="B3898" i="1"/>
  <c r="A3899" i="1"/>
  <c r="B3899" i="1"/>
  <c r="A3900" i="1"/>
  <c r="B3900" i="1"/>
  <c r="A3901" i="1"/>
  <c r="B3901" i="1"/>
  <c r="A3902" i="1"/>
  <c r="B3902" i="1"/>
  <c r="A3903" i="1"/>
  <c r="B3903" i="1"/>
  <c r="A3904" i="1"/>
  <c r="B3904" i="1"/>
  <c r="A3905" i="1"/>
  <c r="B3905" i="1"/>
  <c r="A3906" i="1"/>
  <c r="B3906" i="1"/>
  <c r="A3907" i="1"/>
  <c r="B3907" i="1"/>
  <c r="A3908" i="1"/>
  <c r="B3908" i="1"/>
  <c r="A3909" i="1"/>
  <c r="B3909" i="1"/>
  <c r="A3910" i="1"/>
  <c r="B3910" i="1"/>
  <c r="A3911" i="1"/>
  <c r="B3911" i="1"/>
  <c r="A3912" i="1"/>
  <c r="B3912" i="1"/>
  <c r="A3913" i="1"/>
  <c r="B3913" i="1"/>
  <c r="A3914" i="1"/>
  <c r="B3914" i="1"/>
  <c r="A3915" i="1"/>
  <c r="B3915" i="1"/>
  <c r="A3916" i="1"/>
  <c r="B3916" i="1"/>
  <c r="A3917" i="1"/>
  <c r="A3918" i="1"/>
  <c r="B3918" i="1"/>
  <c r="A3919" i="1"/>
  <c r="B3919" i="1"/>
  <c r="A3920" i="1"/>
  <c r="B3920" i="1"/>
  <c r="A3921" i="1"/>
  <c r="B3921" i="1"/>
  <c r="A3922" i="1"/>
  <c r="B3922" i="1"/>
  <c r="A3923" i="1"/>
  <c r="B3923" i="1"/>
  <c r="A3924" i="1"/>
  <c r="B3924" i="1"/>
  <c r="A3925" i="1"/>
  <c r="B3925" i="1"/>
  <c r="A3926" i="1"/>
  <c r="B3926" i="1"/>
  <c r="A3927" i="1"/>
  <c r="B3927" i="1"/>
  <c r="A3928" i="1"/>
  <c r="B3928" i="1"/>
  <c r="A3929" i="1"/>
  <c r="A3930" i="1"/>
  <c r="B3930" i="1"/>
  <c r="A3931" i="1"/>
  <c r="B3931" i="1"/>
  <c r="A3932" i="1"/>
  <c r="B3932" i="1"/>
  <c r="A3933" i="1"/>
  <c r="B3933" i="1"/>
  <c r="A3934" i="1"/>
  <c r="B3934" i="1"/>
  <c r="A3935" i="1"/>
  <c r="B3935" i="1"/>
  <c r="A3936" i="1"/>
  <c r="B3936" i="1"/>
  <c r="A3937" i="1"/>
  <c r="B3937" i="1"/>
  <c r="A3938" i="1"/>
  <c r="A3939" i="1"/>
  <c r="B3939" i="1"/>
  <c r="A3940" i="1"/>
  <c r="B3940" i="1"/>
  <c r="A3941" i="1"/>
  <c r="B3941" i="1"/>
  <c r="A3942" i="1"/>
  <c r="B3942" i="1"/>
  <c r="A3943" i="1"/>
  <c r="A3944" i="1"/>
  <c r="B3944" i="1"/>
  <c r="A3945" i="1"/>
  <c r="B3945" i="1"/>
  <c r="A3946" i="1"/>
  <c r="B3946" i="1"/>
  <c r="A3947" i="1"/>
  <c r="B3947" i="1"/>
  <c r="A3948" i="1"/>
  <c r="B3948" i="1"/>
  <c r="A3949" i="1"/>
  <c r="B3949" i="1"/>
  <c r="A3950" i="1"/>
  <c r="A3951" i="1"/>
  <c r="B3951" i="1"/>
  <c r="A3952" i="1"/>
  <c r="B3952" i="1"/>
  <c r="A3953" i="1"/>
  <c r="B3953" i="1"/>
  <c r="A3954" i="1"/>
  <c r="B3954" i="1"/>
  <c r="A3955" i="1"/>
  <c r="B3955" i="1"/>
  <c r="A3956" i="1"/>
  <c r="B3956" i="1"/>
  <c r="A3957" i="1"/>
  <c r="B3957" i="1"/>
  <c r="A3958" i="1"/>
  <c r="B3958" i="1"/>
  <c r="A3959" i="1"/>
  <c r="B3959" i="1"/>
  <c r="A3960" i="1"/>
  <c r="B3960" i="1"/>
  <c r="A3961" i="1"/>
  <c r="B3961" i="1"/>
  <c r="A3962" i="1"/>
  <c r="B3962" i="1"/>
  <c r="A3963" i="1"/>
  <c r="B3963" i="1"/>
  <c r="A3964" i="1"/>
  <c r="B3964" i="1"/>
  <c r="A3965" i="1"/>
  <c r="B3965" i="1"/>
  <c r="A3966" i="1"/>
  <c r="B3966" i="1"/>
  <c r="A3967" i="1"/>
  <c r="B3967" i="1"/>
  <c r="A3968" i="1"/>
  <c r="B3968" i="1"/>
  <c r="A3969" i="1"/>
  <c r="B3969" i="1"/>
  <c r="A3970" i="1"/>
  <c r="B3970" i="1"/>
  <c r="A3971" i="1"/>
  <c r="B3971" i="1"/>
  <c r="A3972" i="1"/>
  <c r="B3972" i="1"/>
  <c r="A3973" i="1"/>
  <c r="B3973" i="1"/>
  <c r="A3974" i="1"/>
  <c r="B3974" i="1"/>
  <c r="A3975" i="1"/>
  <c r="B3975" i="1"/>
  <c r="A3976" i="1"/>
  <c r="B3976" i="1"/>
  <c r="A3977" i="1"/>
  <c r="B3977" i="1"/>
  <c r="A3978" i="1"/>
  <c r="B3978" i="1"/>
  <c r="A3979" i="1"/>
  <c r="B3979" i="1"/>
  <c r="A3980" i="1"/>
  <c r="B3980" i="1"/>
  <c r="A3981" i="1"/>
  <c r="B3981" i="1"/>
  <c r="A3982" i="1"/>
  <c r="B3982" i="1"/>
  <c r="A3983" i="1"/>
  <c r="B3983" i="1"/>
  <c r="A3984" i="1"/>
  <c r="B3984" i="1"/>
  <c r="A3985" i="1"/>
  <c r="B3985" i="1"/>
  <c r="A3986" i="1"/>
  <c r="B3986" i="1"/>
  <c r="A3987" i="1"/>
  <c r="B3987" i="1"/>
  <c r="A3988" i="1"/>
  <c r="B3988" i="1"/>
  <c r="A3989" i="1"/>
  <c r="B3989" i="1"/>
  <c r="A3990" i="1"/>
  <c r="B3990" i="1"/>
  <c r="A3991" i="1"/>
  <c r="B3991" i="1"/>
  <c r="A3992" i="1"/>
  <c r="B3992" i="1"/>
  <c r="A3993" i="1"/>
  <c r="B3993" i="1"/>
  <c r="A3994" i="1"/>
  <c r="B3994" i="1"/>
  <c r="A3995" i="1"/>
  <c r="B3995" i="1"/>
  <c r="A3996" i="1"/>
  <c r="B3996" i="1"/>
  <c r="A3997" i="1"/>
  <c r="B3997" i="1"/>
  <c r="A3998" i="1"/>
  <c r="B3998" i="1"/>
  <c r="A3999" i="1"/>
  <c r="A4000" i="1"/>
  <c r="B4000" i="1"/>
  <c r="A4001" i="1"/>
  <c r="B4001" i="1"/>
  <c r="A4002" i="1"/>
  <c r="B4002" i="1"/>
  <c r="A4003" i="1"/>
  <c r="B4003" i="1"/>
  <c r="A4004" i="1"/>
  <c r="B4004" i="1"/>
  <c r="A4005" i="1"/>
  <c r="B4005" i="1"/>
  <c r="A4006" i="1"/>
  <c r="B4006" i="1"/>
  <c r="A4007" i="1"/>
  <c r="B4007" i="1"/>
  <c r="A4008" i="1"/>
  <c r="B4008" i="1"/>
  <c r="A4009" i="1"/>
  <c r="B4009" i="1"/>
  <c r="A4010" i="1"/>
  <c r="A4011" i="1"/>
  <c r="B4011" i="1"/>
  <c r="A4012" i="1"/>
  <c r="B4012" i="1"/>
  <c r="A4013" i="1"/>
  <c r="B4013" i="1"/>
  <c r="A4014" i="1"/>
  <c r="B4014" i="1"/>
  <c r="A4015" i="1"/>
  <c r="B4015" i="1"/>
  <c r="A4016" i="1"/>
  <c r="B4016" i="1"/>
  <c r="A4017" i="1"/>
  <c r="B4017" i="1"/>
  <c r="A4018" i="1"/>
  <c r="B4018" i="1"/>
  <c r="A4019" i="1"/>
  <c r="B4019" i="1"/>
  <c r="A4020" i="1"/>
  <c r="B4020" i="1"/>
  <c r="A4021" i="1"/>
  <c r="B4021" i="1"/>
  <c r="A4022" i="1"/>
  <c r="B4022" i="1"/>
  <c r="A4023" i="1"/>
  <c r="B4023" i="1"/>
  <c r="A4024" i="1"/>
  <c r="B4024" i="1"/>
  <c r="A4025" i="1"/>
  <c r="B4025" i="1"/>
  <c r="A4026" i="1"/>
  <c r="A4027" i="1"/>
  <c r="B4027" i="1"/>
  <c r="A4028" i="1"/>
  <c r="B4028" i="1"/>
  <c r="A4029" i="1"/>
  <c r="B4029" i="1"/>
  <c r="A4030" i="1"/>
  <c r="A4031" i="1"/>
  <c r="B4031" i="1"/>
  <c r="A4032" i="1"/>
  <c r="B4032" i="1"/>
  <c r="A4033" i="1"/>
  <c r="B4033" i="1"/>
  <c r="A4034" i="1"/>
  <c r="B4034" i="1"/>
  <c r="A4035" i="1"/>
  <c r="B4035" i="1"/>
  <c r="A4036" i="1"/>
  <c r="B4036" i="1"/>
  <c r="A4037" i="1"/>
  <c r="A4038" i="1"/>
  <c r="B4038" i="1"/>
  <c r="A4039" i="1"/>
  <c r="B4039" i="1"/>
  <c r="A4040" i="1"/>
  <c r="B4040" i="1"/>
  <c r="A4041" i="1"/>
  <c r="B4041" i="1"/>
  <c r="A4042" i="1"/>
  <c r="B4042" i="1"/>
  <c r="A4043" i="1"/>
  <c r="B4043" i="1"/>
  <c r="A4044" i="1"/>
  <c r="B4044" i="1"/>
  <c r="A4045" i="1"/>
  <c r="A4046" i="1"/>
  <c r="A4047" i="1"/>
  <c r="A4048" i="1"/>
  <c r="A4049" i="1"/>
  <c r="A4050" i="1"/>
  <c r="A4051" i="1"/>
  <c r="B4051" i="1"/>
  <c r="A4052" i="1"/>
  <c r="A4053" i="1"/>
  <c r="A4054" i="1"/>
  <c r="B4054" i="1"/>
  <c r="A4055" i="1"/>
  <c r="B4055" i="1"/>
  <c r="A4056" i="1"/>
  <c r="A4057" i="1"/>
  <c r="B4057" i="1"/>
  <c r="A4058" i="1"/>
  <c r="B4058" i="1"/>
  <c r="A4059" i="1"/>
  <c r="B4059" i="1"/>
  <c r="A4060" i="1"/>
  <c r="A4061" i="1"/>
  <c r="B4061" i="1"/>
  <c r="A4062" i="1"/>
  <c r="A4063" i="1"/>
  <c r="A4064" i="1"/>
  <c r="A4065" i="1"/>
  <c r="A4066" i="1"/>
  <c r="A4067" i="1"/>
  <c r="B4067" i="1"/>
  <c r="A4068" i="1"/>
  <c r="A4069" i="1"/>
  <c r="A4070" i="1"/>
  <c r="B4070" i="1"/>
  <c r="A4071" i="1"/>
  <c r="A4072" i="1"/>
  <c r="B4072" i="1"/>
  <c r="A4073" i="1"/>
  <c r="B4073" i="1"/>
  <c r="A4074" i="1"/>
  <c r="B4074" i="1"/>
  <c r="A4075" i="1"/>
  <c r="B4075" i="1"/>
  <c r="A4076" i="1"/>
  <c r="A4077" i="1"/>
  <c r="B4077" i="1"/>
  <c r="A4078" i="1"/>
  <c r="B4078" i="1"/>
  <c r="A4079" i="1"/>
  <c r="B4079" i="1"/>
  <c r="A4080" i="1"/>
  <c r="B4080" i="1"/>
  <c r="A4081" i="1"/>
  <c r="B4081" i="1"/>
  <c r="A4082" i="1"/>
  <c r="B4082" i="1"/>
  <c r="A4083" i="1"/>
  <c r="B4083" i="1"/>
  <c r="A4084" i="1"/>
  <c r="B4084" i="1"/>
  <c r="A4085" i="1"/>
  <c r="A4086" i="1"/>
  <c r="B4086" i="1"/>
  <c r="A4087" i="1"/>
  <c r="B4087" i="1"/>
  <c r="A4088" i="1"/>
  <c r="B4088" i="1"/>
  <c r="A4089" i="1"/>
  <c r="B4089" i="1"/>
  <c r="A4090" i="1"/>
  <c r="B4090" i="1"/>
  <c r="A4091" i="1"/>
  <c r="A4092" i="1"/>
  <c r="B4092" i="1"/>
  <c r="A4093" i="1"/>
  <c r="B4093" i="1"/>
  <c r="A4094" i="1"/>
  <c r="B4094" i="1"/>
  <c r="A4095" i="1"/>
  <c r="B4095" i="1"/>
  <c r="A4096" i="1"/>
  <c r="B4096" i="1"/>
  <c r="A4097" i="1"/>
  <c r="B4097" i="1"/>
  <c r="A4098" i="1"/>
  <c r="B4098" i="1"/>
  <c r="A4099" i="1"/>
  <c r="B4099" i="1"/>
  <c r="A4100" i="1"/>
  <c r="B4100" i="1"/>
  <c r="A4101" i="1"/>
  <c r="A4102" i="1"/>
  <c r="A4103" i="1"/>
  <c r="B4103" i="1"/>
  <c r="A4104" i="1"/>
  <c r="B4104" i="1"/>
  <c r="A4105" i="1"/>
  <c r="B4105" i="1"/>
  <c r="A4106" i="1"/>
  <c r="B4106" i="1"/>
  <c r="A4107" i="1"/>
  <c r="A4108" i="1"/>
  <c r="A4109" i="1"/>
  <c r="A4110" i="1"/>
  <c r="A4111" i="1"/>
  <c r="A4112" i="1"/>
  <c r="A4113" i="1"/>
  <c r="A4114" i="1"/>
  <c r="A4115" i="1"/>
  <c r="B4115" i="1"/>
  <c r="A4116" i="1"/>
  <c r="B4116" i="1"/>
  <c r="A4117" i="1"/>
  <c r="B4117" i="1"/>
  <c r="A4118" i="1"/>
  <c r="A4119" i="1"/>
  <c r="B4119" i="1"/>
  <c r="A4120" i="1"/>
  <c r="B4120" i="1"/>
  <c r="A4121" i="1"/>
  <c r="B4121" i="1"/>
  <c r="A4122" i="1"/>
  <c r="B4122" i="1"/>
  <c r="A4123" i="1"/>
  <c r="B4123" i="1"/>
  <c r="A4124" i="1"/>
  <c r="B4124" i="1"/>
  <c r="A4125" i="1"/>
  <c r="B4125" i="1"/>
  <c r="A4126" i="1"/>
  <c r="B4126" i="1"/>
  <c r="A4127" i="1"/>
  <c r="B4127" i="1"/>
  <c r="A4128" i="1"/>
  <c r="B4128" i="1"/>
  <c r="A4129" i="1"/>
  <c r="A4130" i="1"/>
  <c r="A4131" i="1"/>
  <c r="B4131" i="1"/>
  <c r="A4132" i="1"/>
  <c r="B4132" i="1"/>
  <c r="A4133" i="1"/>
  <c r="B4133" i="1"/>
  <c r="A4134" i="1"/>
  <c r="A4135" i="1"/>
  <c r="B4135" i="1"/>
  <c r="A4136" i="1"/>
  <c r="B4136" i="1"/>
  <c r="A4137" i="1"/>
  <c r="B4137" i="1"/>
  <c r="A4138" i="1"/>
  <c r="A4139" i="1"/>
  <c r="B4139" i="1"/>
  <c r="A4140" i="1"/>
  <c r="B4140" i="1"/>
  <c r="A4141" i="1"/>
  <c r="B4141" i="1"/>
  <c r="A4142" i="1"/>
  <c r="B4142" i="1"/>
  <c r="A4143" i="1"/>
  <c r="B4143" i="1"/>
  <c r="A4144" i="1"/>
  <c r="A4145" i="1"/>
  <c r="A4146" i="1"/>
  <c r="B4146" i="1"/>
  <c r="A4147" i="1"/>
  <c r="A4148" i="1"/>
  <c r="B4148" i="1"/>
  <c r="A4149" i="1"/>
  <c r="A4150" i="1"/>
  <c r="B4150" i="1"/>
  <c r="A4151" i="1"/>
  <c r="B4151" i="1"/>
  <c r="A4152" i="1"/>
  <c r="A4153" i="1"/>
  <c r="B4153" i="1"/>
  <c r="A4154" i="1"/>
  <c r="B4154" i="1"/>
  <c r="A4155" i="1"/>
  <c r="B4155" i="1"/>
  <c r="A4156" i="1"/>
  <c r="B4156" i="1"/>
  <c r="A4157" i="1"/>
  <c r="B4157" i="1"/>
  <c r="A4158" i="1"/>
  <c r="B4158" i="1"/>
  <c r="A4159" i="1"/>
  <c r="B4159" i="1"/>
  <c r="A4160" i="1"/>
  <c r="A4161" i="1"/>
  <c r="B4161" i="1"/>
  <c r="A4162" i="1"/>
  <c r="B4162" i="1"/>
  <c r="A4163" i="1"/>
  <c r="B4163" i="1"/>
  <c r="A4164" i="1"/>
  <c r="B4164" i="1"/>
  <c r="A4165" i="1"/>
  <c r="B4165" i="1"/>
  <c r="A4166" i="1"/>
  <c r="B4166" i="1"/>
  <c r="A4167" i="1"/>
  <c r="B4167" i="1"/>
  <c r="A4168" i="1"/>
  <c r="B4168" i="1"/>
  <c r="A4169" i="1"/>
  <c r="B4169" i="1"/>
  <c r="A4170" i="1"/>
  <c r="B4170" i="1"/>
  <c r="A4171" i="1"/>
  <c r="B4171" i="1"/>
  <c r="A4172" i="1"/>
  <c r="B4172" i="1"/>
  <c r="A4173" i="1"/>
  <c r="B4173" i="1"/>
  <c r="A4174" i="1"/>
  <c r="B4174" i="1"/>
  <c r="A4175" i="1"/>
  <c r="B4175" i="1"/>
  <c r="A4176" i="1"/>
  <c r="B4176" i="1"/>
  <c r="A4177" i="1"/>
  <c r="B4177" i="1"/>
  <c r="A4178" i="1"/>
  <c r="B4178" i="1"/>
  <c r="A4179" i="1"/>
  <c r="B4179" i="1"/>
  <c r="A4180" i="1"/>
  <c r="B4180" i="1"/>
  <c r="A4181" i="1"/>
  <c r="B4181" i="1"/>
  <c r="A4182" i="1"/>
  <c r="B4182" i="1"/>
  <c r="A4183" i="1"/>
  <c r="B4183" i="1"/>
  <c r="A4184" i="1"/>
  <c r="B4184" i="1"/>
  <c r="A4185" i="1"/>
  <c r="B4185" i="1"/>
  <c r="A4186" i="1"/>
  <c r="B4186" i="1"/>
  <c r="A4187" i="1"/>
  <c r="B4187" i="1"/>
  <c r="A4188" i="1"/>
  <c r="B4188" i="1"/>
  <c r="A4189" i="1"/>
  <c r="B4189" i="1"/>
  <c r="A4190" i="1"/>
  <c r="B4190" i="1"/>
  <c r="A4191" i="1"/>
  <c r="B4191" i="1"/>
  <c r="A4192" i="1"/>
  <c r="B4192" i="1"/>
  <c r="A4193" i="1"/>
  <c r="B4193" i="1"/>
  <c r="A4194" i="1"/>
  <c r="B4194" i="1"/>
  <c r="A4195" i="1"/>
  <c r="B4195" i="1"/>
  <c r="A4196" i="1"/>
  <c r="A4197" i="1"/>
  <c r="B4197" i="1"/>
  <c r="A4198" i="1"/>
  <c r="A4199" i="1"/>
  <c r="A4200" i="1"/>
  <c r="A4201" i="1"/>
  <c r="A4202" i="1"/>
  <c r="A4203" i="1"/>
  <c r="A4204" i="1"/>
  <c r="A4205" i="1"/>
  <c r="A4206" i="1"/>
  <c r="A4207" i="1"/>
  <c r="A4208" i="1"/>
  <c r="A4209" i="1"/>
  <c r="A4210" i="1"/>
  <c r="B4210" i="1"/>
  <c r="A4211" i="1"/>
  <c r="B4211" i="1"/>
  <c r="A4212" i="1"/>
  <c r="B4212" i="1"/>
  <c r="A4213" i="1"/>
  <c r="B4213" i="1"/>
  <c r="A4214" i="1"/>
  <c r="B4214" i="1"/>
  <c r="A4215" i="1"/>
  <c r="B4215" i="1"/>
  <c r="A4216" i="1"/>
  <c r="B4216" i="1"/>
  <c r="A4217" i="1"/>
  <c r="B4217" i="1"/>
  <c r="A4218" i="1"/>
  <c r="A4219" i="1"/>
  <c r="B4219" i="1"/>
  <c r="A4220" i="1"/>
  <c r="A4221" i="1"/>
  <c r="B4221" i="1"/>
  <c r="A4222" i="1"/>
  <c r="B4222" i="1"/>
  <c r="A4223" i="1"/>
  <c r="A4224" i="1"/>
  <c r="B4224" i="1"/>
  <c r="A4225" i="1"/>
  <c r="B4225" i="1"/>
  <c r="A4226" i="1"/>
  <c r="B4226" i="1"/>
  <c r="A4227" i="1"/>
  <c r="B4227" i="1"/>
  <c r="A4228" i="1"/>
  <c r="B4228" i="1"/>
  <c r="A4229" i="1"/>
  <c r="B4229" i="1"/>
  <c r="A4230" i="1"/>
  <c r="B4230" i="1"/>
  <c r="A4231" i="1"/>
  <c r="A4232" i="1"/>
  <c r="A4233" i="1"/>
  <c r="A4234" i="1"/>
  <c r="B4234" i="1"/>
  <c r="A4235" i="1"/>
  <c r="B4235" i="1"/>
  <c r="A4236" i="1"/>
  <c r="B4236" i="1"/>
  <c r="A4237" i="1"/>
  <c r="B4237" i="1"/>
  <c r="A4238" i="1"/>
  <c r="B4238" i="1"/>
  <c r="A4239" i="1"/>
  <c r="B4239" i="1"/>
  <c r="A4240" i="1"/>
  <c r="B4240" i="1"/>
  <c r="A4241" i="1"/>
  <c r="A4242" i="1"/>
  <c r="B4242" i="1"/>
  <c r="A4243" i="1"/>
  <c r="B4243" i="1"/>
  <c r="A4244" i="1"/>
  <c r="B4244" i="1"/>
  <c r="A4245" i="1"/>
  <c r="A4246" i="1"/>
  <c r="B4246" i="1"/>
  <c r="A4247" i="1"/>
  <c r="B4247" i="1"/>
  <c r="A4248" i="1"/>
  <c r="B4248" i="1"/>
  <c r="A4249" i="1"/>
  <c r="B4249" i="1"/>
  <c r="A4250" i="1"/>
  <c r="B4250" i="1"/>
  <c r="A4251" i="1"/>
  <c r="B4251" i="1"/>
  <c r="A4252" i="1"/>
  <c r="A4253" i="1"/>
  <c r="B4253" i="1"/>
  <c r="A4254" i="1"/>
  <c r="B4254" i="1"/>
  <c r="A4255" i="1"/>
  <c r="B4255" i="1"/>
  <c r="A4256" i="1"/>
  <c r="B4256" i="1"/>
  <c r="A4257" i="1"/>
  <c r="B4257" i="1"/>
  <c r="A4258" i="1"/>
  <c r="B4258" i="1"/>
  <c r="A4259" i="1"/>
  <c r="B4259" i="1"/>
  <c r="A4260" i="1"/>
  <c r="B4260" i="1"/>
  <c r="A4261" i="1"/>
  <c r="B4261" i="1"/>
  <c r="A4262" i="1"/>
  <c r="B4262" i="1"/>
  <c r="A4263" i="1"/>
  <c r="B4263" i="1"/>
  <c r="A4264" i="1"/>
  <c r="B4264" i="1"/>
  <c r="A4265" i="1"/>
  <c r="B4265" i="1"/>
  <c r="A4266" i="1"/>
  <c r="A4267" i="1"/>
  <c r="B4267" i="1"/>
  <c r="A4268" i="1"/>
  <c r="B4268" i="1"/>
  <c r="A4269" i="1"/>
  <c r="B4269" i="1"/>
  <c r="A4270" i="1"/>
  <c r="A4271" i="1"/>
  <c r="B4271" i="1"/>
  <c r="A4272" i="1"/>
  <c r="A4273" i="1"/>
  <c r="B4273" i="1"/>
  <c r="A4274" i="1"/>
  <c r="B4274" i="1"/>
  <c r="A4275" i="1"/>
  <c r="B4275" i="1"/>
  <c r="A4276" i="1"/>
  <c r="B4276" i="1"/>
  <c r="A4277" i="1"/>
  <c r="A4278" i="1"/>
  <c r="A4279" i="1"/>
  <c r="A4280" i="1"/>
  <c r="A4281" i="1"/>
  <c r="B4281" i="1"/>
  <c r="A4282" i="1"/>
  <c r="B4282" i="1"/>
  <c r="A4283" i="1"/>
  <c r="B4283" i="1"/>
  <c r="A4284" i="1"/>
  <c r="A4285" i="1"/>
  <c r="A4286" i="1"/>
  <c r="A4287" i="1"/>
  <c r="A4288" i="1"/>
  <c r="A4289" i="1"/>
  <c r="A4290" i="1"/>
  <c r="A4291" i="1"/>
  <c r="B4291" i="1"/>
  <c r="A4292" i="1"/>
  <c r="B4292" i="1"/>
  <c r="A4293" i="1"/>
  <c r="B4293" i="1"/>
  <c r="A4294" i="1"/>
  <c r="A4295" i="1"/>
  <c r="B4295" i="1"/>
  <c r="A4296" i="1"/>
  <c r="B4296" i="1"/>
  <c r="A4297" i="1"/>
  <c r="A4298" i="1"/>
  <c r="A4299" i="1"/>
  <c r="B4299" i="1"/>
  <c r="A4300" i="1"/>
  <c r="A4301" i="1"/>
  <c r="B4301" i="1"/>
  <c r="A4302" i="1"/>
  <c r="B4302" i="1"/>
  <c r="A4303" i="1"/>
  <c r="B4303" i="1"/>
  <c r="A4304" i="1"/>
  <c r="B4304" i="1"/>
  <c r="A4305" i="1"/>
  <c r="B4305" i="1"/>
  <c r="A4306" i="1"/>
  <c r="B4306" i="1"/>
  <c r="A4307" i="1"/>
  <c r="A4308" i="1"/>
  <c r="A4309" i="1"/>
  <c r="A4310" i="1"/>
  <c r="A4311" i="1"/>
  <c r="A4312" i="1"/>
  <c r="A4313" i="1"/>
  <c r="B4313" i="1"/>
  <c r="A4314" i="1"/>
  <c r="A4315" i="1"/>
  <c r="A4316" i="1"/>
  <c r="A4317" i="1"/>
  <c r="B4317" i="1"/>
  <c r="A4318" i="1"/>
  <c r="B4318" i="1"/>
  <c r="A4319" i="1"/>
  <c r="B4319" i="1"/>
  <c r="A4320" i="1"/>
  <c r="A4321" i="1"/>
  <c r="A4322" i="1"/>
  <c r="A4323" i="1"/>
  <c r="A4324" i="1"/>
  <c r="A4325" i="1"/>
  <c r="A4326" i="1"/>
  <c r="B4326" i="1"/>
  <c r="A4327" i="1"/>
  <c r="B4327" i="1"/>
  <c r="A4328" i="1"/>
  <c r="B4328" i="1"/>
  <c r="A4329" i="1"/>
  <c r="A4330" i="1"/>
  <c r="B4330" i="1"/>
  <c r="A4331" i="1"/>
  <c r="A4332" i="1"/>
  <c r="B4332" i="1"/>
  <c r="A4333" i="1"/>
  <c r="B4333" i="1"/>
  <c r="A4334" i="1"/>
  <c r="B4334" i="1"/>
  <c r="A4335" i="1"/>
  <c r="B4335" i="1"/>
  <c r="A4336" i="1"/>
  <c r="B4336" i="1"/>
  <c r="A4337" i="1"/>
  <c r="A4338" i="1"/>
  <c r="B4338" i="1"/>
  <c r="A4339" i="1"/>
  <c r="B4339" i="1"/>
  <c r="A4340" i="1"/>
  <c r="B4340" i="1"/>
  <c r="A4341" i="1"/>
  <c r="B4341" i="1"/>
  <c r="A4342" i="1"/>
  <c r="A4343" i="1"/>
  <c r="B4343" i="1"/>
  <c r="A4344" i="1"/>
  <c r="B4344" i="1"/>
  <c r="A4345" i="1"/>
  <c r="B4345" i="1"/>
  <c r="A4346" i="1"/>
  <c r="B4346" i="1"/>
  <c r="A4347" i="1"/>
  <c r="B4347" i="1"/>
  <c r="A4348" i="1"/>
  <c r="A4349" i="1"/>
  <c r="B4349" i="1"/>
  <c r="A4350" i="1"/>
  <c r="B4350" i="1"/>
  <c r="A4351" i="1"/>
  <c r="B4351" i="1"/>
  <c r="A4352" i="1"/>
  <c r="B4352" i="1"/>
  <c r="A4353" i="1"/>
  <c r="B4353" i="1"/>
  <c r="A4354" i="1"/>
  <c r="B4354" i="1"/>
  <c r="A4355" i="1"/>
  <c r="B4355" i="1"/>
  <c r="A4356" i="1"/>
  <c r="A4357" i="1"/>
  <c r="B4357" i="1"/>
  <c r="A4358" i="1"/>
  <c r="B4358" i="1"/>
  <c r="A4359" i="1"/>
  <c r="B4359" i="1"/>
  <c r="A4360" i="1"/>
  <c r="B4360" i="1"/>
  <c r="A4361" i="1"/>
  <c r="B4361" i="1"/>
  <c r="A4362" i="1"/>
  <c r="B4362" i="1"/>
  <c r="A4363" i="1"/>
  <c r="B4363" i="1"/>
  <c r="A4364" i="1"/>
  <c r="A4365" i="1"/>
  <c r="B4365" i="1"/>
  <c r="A4366" i="1"/>
  <c r="B4366" i="1"/>
  <c r="A4367" i="1"/>
  <c r="B4367" i="1"/>
  <c r="A4368" i="1"/>
  <c r="B4368" i="1"/>
  <c r="A4369" i="1"/>
  <c r="B4369" i="1"/>
  <c r="A4370" i="1"/>
  <c r="B4370" i="1"/>
  <c r="A4371" i="1"/>
  <c r="B4371" i="1"/>
  <c r="A4372" i="1"/>
  <c r="B4372" i="1"/>
  <c r="A4373" i="1"/>
  <c r="B4373" i="1"/>
  <c r="A4374" i="1"/>
  <c r="B4374" i="1"/>
  <c r="A4375" i="1"/>
  <c r="B4375" i="1"/>
  <c r="A4376" i="1"/>
  <c r="A4377" i="1"/>
  <c r="B4377" i="1"/>
  <c r="A4378" i="1"/>
  <c r="B4378" i="1"/>
  <c r="A4379" i="1"/>
  <c r="A4380" i="1"/>
  <c r="A4381" i="1"/>
  <c r="B4381" i="1"/>
  <c r="A4382" i="1"/>
  <c r="B4382" i="1"/>
  <c r="A4383" i="1"/>
  <c r="B4383" i="1"/>
  <c r="A4384" i="1"/>
  <c r="B4384" i="1"/>
  <c r="A4385" i="1"/>
  <c r="B4385" i="1"/>
  <c r="A4386" i="1"/>
  <c r="B4386" i="1"/>
  <c r="A4387" i="1"/>
  <c r="A4388" i="1"/>
  <c r="B4388" i="1"/>
  <c r="A4389" i="1"/>
  <c r="B4389" i="1"/>
  <c r="A4390" i="1"/>
  <c r="B4390" i="1"/>
  <c r="A4391" i="1"/>
  <c r="A4392" i="1"/>
  <c r="A4393" i="1"/>
  <c r="A4394" i="1"/>
  <c r="A4395" i="1"/>
  <c r="B4395" i="1"/>
  <c r="A4396" i="1"/>
  <c r="B4396" i="1"/>
  <c r="A4397" i="1"/>
  <c r="B4397" i="1"/>
  <c r="A4398" i="1"/>
  <c r="B4398" i="1"/>
  <c r="A4399" i="1"/>
  <c r="B4399" i="1"/>
  <c r="A4400" i="1"/>
  <c r="A4401" i="1"/>
  <c r="B4401" i="1"/>
  <c r="A4402" i="1"/>
  <c r="B4402" i="1"/>
  <c r="A4403" i="1"/>
  <c r="B4403" i="1"/>
  <c r="A4404" i="1"/>
  <c r="B4404" i="1"/>
  <c r="A4405" i="1"/>
  <c r="A4406" i="1"/>
  <c r="B4406" i="1"/>
  <c r="A4407" i="1"/>
  <c r="B4407" i="1"/>
  <c r="A4408" i="1"/>
  <c r="A4409" i="1"/>
  <c r="A4410" i="1"/>
  <c r="B4410" i="1"/>
  <c r="A4411" i="1"/>
  <c r="B4411" i="1"/>
  <c r="A4412" i="1"/>
  <c r="B4412" i="1"/>
  <c r="A4413" i="1"/>
  <c r="B4413" i="1"/>
  <c r="A4414" i="1"/>
  <c r="B4414" i="1"/>
  <c r="A4415" i="1"/>
  <c r="B4415" i="1"/>
  <c r="A4416" i="1"/>
  <c r="B4416" i="1"/>
  <c r="A4417" i="1"/>
  <c r="B4417" i="1"/>
  <c r="A4418" i="1"/>
  <c r="B4418" i="1"/>
  <c r="A4419" i="1"/>
  <c r="B4419" i="1"/>
  <c r="A4420" i="1"/>
  <c r="B4420" i="1"/>
  <c r="A4421" i="1"/>
  <c r="B4421" i="1"/>
  <c r="A4422" i="1"/>
  <c r="B4422" i="1"/>
  <c r="A4423" i="1"/>
  <c r="B4423" i="1"/>
  <c r="A4424" i="1"/>
  <c r="B4424" i="1"/>
  <c r="A4425" i="1"/>
  <c r="B4425" i="1"/>
  <c r="A4426" i="1"/>
  <c r="B4426" i="1"/>
  <c r="A4427" i="1"/>
  <c r="B4427" i="1"/>
  <c r="A4428" i="1"/>
  <c r="B4428" i="1"/>
  <c r="A4429" i="1"/>
  <c r="B4429" i="1"/>
  <c r="A4430" i="1"/>
  <c r="B4430" i="1"/>
  <c r="A4431" i="1"/>
  <c r="B4431" i="1"/>
  <c r="A4432" i="1"/>
  <c r="B4432" i="1"/>
  <c r="A4433" i="1"/>
  <c r="B4433" i="1"/>
  <c r="A4434" i="1"/>
  <c r="B4434" i="1"/>
  <c r="A4435" i="1"/>
  <c r="A4436" i="1"/>
  <c r="B4436" i="1"/>
  <c r="A4437" i="1"/>
  <c r="B4437" i="1"/>
  <c r="A4438" i="1"/>
  <c r="B4438" i="1"/>
  <c r="A4439" i="1"/>
  <c r="A4440" i="1"/>
  <c r="A4441" i="1"/>
  <c r="B4441" i="1"/>
  <c r="A4442" i="1"/>
  <c r="B4442" i="1"/>
  <c r="A4443" i="1"/>
  <c r="A4444" i="1"/>
  <c r="B4444" i="1"/>
  <c r="A4445" i="1"/>
  <c r="B4445" i="1"/>
  <c r="A4446" i="1"/>
  <c r="B4446" i="1"/>
  <c r="A4447" i="1"/>
  <c r="B4447" i="1"/>
  <c r="A4448" i="1"/>
  <c r="A4449" i="1"/>
  <c r="B4449" i="1"/>
  <c r="A4450" i="1"/>
  <c r="B4450" i="1"/>
  <c r="A4451" i="1"/>
  <c r="A4452" i="1"/>
  <c r="B4452" i="1"/>
  <c r="A4453" i="1"/>
  <c r="B4453" i="1"/>
  <c r="A4454" i="1"/>
  <c r="B4454" i="1"/>
  <c r="A4455" i="1"/>
  <c r="A4456" i="1"/>
  <c r="B4456" i="1"/>
  <c r="A4457" i="1"/>
  <c r="B4457" i="1"/>
  <c r="A4458" i="1"/>
  <c r="B4458" i="1"/>
  <c r="A4459" i="1"/>
  <c r="A4460" i="1"/>
  <c r="A4461" i="1"/>
  <c r="B4461" i="1"/>
  <c r="A4462" i="1"/>
  <c r="B4462" i="1"/>
  <c r="A4463" i="1"/>
  <c r="B4463" i="1"/>
  <c r="A4464" i="1"/>
  <c r="B4464" i="1"/>
  <c r="A4465" i="1"/>
  <c r="B4465" i="1"/>
  <c r="A4466" i="1"/>
  <c r="A4467" i="1"/>
  <c r="B4467" i="1"/>
  <c r="A4468" i="1"/>
  <c r="B4468" i="1"/>
  <c r="A4469" i="1"/>
  <c r="A4470" i="1"/>
  <c r="B4470" i="1"/>
  <c r="A4471" i="1"/>
  <c r="B4471" i="1"/>
  <c r="A4472" i="1"/>
  <c r="B4472" i="1"/>
  <c r="A4473" i="1"/>
  <c r="B4473" i="1"/>
  <c r="A4474" i="1"/>
  <c r="B4474" i="1"/>
  <c r="A4475" i="1"/>
  <c r="B4475" i="1"/>
  <c r="A4476" i="1"/>
  <c r="B4476" i="1"/>
  <c r="A4477" i="1"/>
  <c r="B4477" i="1"/>
  <c r="A4478" i="1"/>
  <c r="B4478" i="1"/>
  <c r="A4479" i="1"/>
  <c r="B4479" i="1"/>
  <c r="A4480" i="1"/>
  <c r="B4480" i="1"/>
  <c r="A4481" i="1"/>
  <c r="A4482" i="1"/>
  <c r="A4483" i="1"/>
  <c r="A4484" i="1"/>
  <c r="B4484" i="1"/>
  <c r="A4485" i="1"/>
  <c r="B4485" i="1"/>
  <c r="A4486" i="1"/>
  <c r="B4486" i="1"/>
  <c r="A4487" i="1"/>
  <c r="B4487" i="1"/>
  <c r="A4488" i="1"/>
  <c r="B4488" i="1"/>
  <c r="A4489" i="1"/>
  <c r="B4489" i="1"/>
  <c r="A4490" i="1"/>
  <c r="B4490" i="1"/>
  <c r="A4491" i="1"/>
  <c r="B4491" i="1"/>
  <c r="A4492" i="1"/>
  <c r="B4492" i="1"/>
  <c r="A4493" i="1"/>
  <c r="B4493" i="1"/>
  <c r="A4494" i="1"/>
  <c r="A4495" i="1"/>
  <c r="A4496" i="1"/>
  <c r="A4497" i="1"/>
  <c r="A4498" i="1"/>
  <c r="A4499" i="1"/>
  <c r="A4500" i="1"/>
  <c r="A4501" i="1"/>
  <c r="B4501" i="1"/>
  <c r="A4502" i="1"/>
  <c r="B4502" i="1"/>
  <c r="A4503" i="1"/>
  <c r="B4503" i="1"/>
  <c r="A4504" i="1"/>
  <c r="A4505" i="1"/>
  <c r="B4505" i="1"/>
  <c r="A4506" i="1"/>
  <c r="A4507" i="1"/>
  <c r="A4508" i="1"/>
  <c r="B4508" i="1"/>
  <c r="A4509" i="1"/>
  <c r="B4509" i="1"/>
  <c r="A4510" i="1"/>
  <c r="B4510" i="1"/>
  <c r="A4511" i="1"/>
  <c r="B4511" i="1"/>
  <c r="A4512" i="1"/>
  <c r="B4512" i="1"/>
  <c r="A4513" i="1"/>
  <c r="B4513" i="1"/>
  <c r="A4514" i="1"/>
  <c r="B4514" i="1"/>
  <c r="A4515" i="1"/>
  <c r="B4515" i="1"/>
  <c r="A4516" i="1"/>
  <c r="B4516" i="1"/>
  <c r="A4517" i="1"/>
  <c r="B4517" i="1"/>
  <c r="A4518" i="1"/>
  <c r="A4519" i="1"/>
  <c r="A4520" i="1"/>
  <c r="B4520" i="1"/>
  <c r="A4521" i="1"/>
  <c r="B4521" i="1"/>
  <c r="A4522" i="1"/>
  <c r="A4523" i="1"/>
  <c r="A4524" i="1"/>
  <c r="B4524" i="1"/>
  <c r="A4525" i="1"/>
  <c r="B4525" i="1"/>
  <c r="A4526" i="1"/>
  <c r="B4526" i="1"/>
  <c r="A4527" i="1"/>
  <c r="B4527" i="1"/>
  <c r="A4528" i="1"/>
  <c r="B4528" i="1"/>
  <c r="A4529" i="1"/>
  <c r="A4530" i="1"/>
  <c r="B4530" i="1"/>
  <c r="A4531" i="1"/>
  <c r="B4531" i="1"/>
  <c r="A4532" i="1"/>
  <c r="A4533" i="1"/>
  <c r="B4533" i="1"/>
  <c r="A4534" i="1"/>
  <c r="B4534" i="1"/>
  <c r="A4535" i="1"/>
  <c r="B4535" i="1"/>
  <c r="A4536" i="1"/>
  <c r="B4536" i="1"/>
  <c r="A4537" i="1"/>
  <c r="B4537" i="1"/>
  <c r="A4538" i="1"/>
  <c r="A4539" i="1"/>
  <c r="B4539" i="1"/>
  <c r="A4540" i="1"/>
  <c r="A4541" i="1"/>
  <c r="B4541" i="1"/>
  <c r="A4542" i="1"/>
  <c r="A4543" i="1"/>
  <c r="A4544" i="1"/>
  <c r="B4544" i="1"/>
  <c r="A4545" i="1"/>
  <c r="A4546" i="1"/>
  <c r="A4547" i="1"/>
  <c r="A4548" i="1"/>
  <c r="A4549" i="1"/>
  <c r="A4550" i="1"/>
  <c r="B4550" i="1"/>
  <c r="A4551" i="1"/>
  <c r="B4551" i="1"/>
  <c r="A4552" i="1"/>
  <c r="B4552" i="1"/>
  <c r="A4553" i="1"/>
  <c r="B4553" i="1"/>
  <c r="A4554" i="1"/>
  <c r="B4554" i="1"/>
  <c r="A4555" i="1"/>
  <c r="B4555" i="1"/>
  <c r="A4556" i="1"/>
  <c r="B4556" i="1"/>
  <c r="A4557" i="1"/>
  <c r="A4558" i="1"/>
  <c r="B4558" i="1"/>
  <c r="A4559" i="1"/>
  <c r="A4560" i="1"/>
  <c r="A4561" i="1"/>
  <c r="A4562" i="1"/>
  <c r="B4562" i="1"/>
  <c r="A4563" i="1"/>
  <c r="B4563" i="1"/>
  <c r="A4564" i="1"/>
  <c r="B4564" i="1"/>
  <c r="A4565" i="1"/>
  <c r="A4566" i="1"/>
  <c r="B4566" i="1"/>
  <c r="A4567" i="1"/>
  <c r="B4567" i="1"/>
  <c r="A4568" i="1"/>
  <c r="A4569" i="1"/>
  <c r="B4569" i="1"/>
  <c r="A4570" i="1"/>
  <c r="A4571" i="1"/>
  <c r="A4572" i="1"/>
  <c r="A4573" i="1"/>
  <c r="B4573" i="1"/>
  <c r="A4574" i="1"/>
  <c r="A4575" i="1"/>
  <c r="A4576" i="1"/>
  <c r="A4577" i="1"/>
  <c r="A4578" i="1"/>
  <c r="A4579" i="1"/>
  <c r="B4579" i="1"/>
  <c r="A4580" i="1"/>
  <c r="A4581" i="1"/>
  <c r="B4581" i="1"/>
  <c r="A4582" i="1"/>
  <c r="B4582" i="1"/>
  <c r="A4583" i="1"/>
  <c r="A4584" i="1"/>
  <c r="B4584" i="1"/>
  <c r="A4585" i="1"/>
  <c r="B4585" i="1"/>
  <c r="A4586" i="1"/>
  <c r="B4586" i="1"/>
  <c r="A4587" i="1"/>
  <c r="B4587" i="1"/>
  <c r="A4588" i="1"/>
  <c r="B4588" i="1"/>
  <c r="A4589" i="1"/>
  <c r="B4589" i="1"/>
  <c r="A4590" i="1"/>
  <c r="B4590" i="1"/>
  <c r="A4591" i="1"/>
  <c r="B4591" i="1"/>
  <c r="A4592" i="1"/>
  <c r="B4592" i="1"/>
  <c r="A4593" i="1"/>
  <c r="B4593" i="1"/>
  <c r="A4594" i="1"/>
  <c r="A4595" i="1"/>
  <c r="B4595" i="1"/>
  <c r="A4596" i="1"/>
  <c r="B4596" i="1"/>
  <c r="A4597" i="1"/>
  <c r="B4597" i="1"/>
  <c r="A4598" i="1"/>
  <c r="A4599" i="1"/>
  <c r="B4599" i="1"/>
  <c r="A4600" i="1"/>
  <c r="B4600" i="1"/>
  <c r="A4601" i="1"/>
  <c r="B4601" i="1"/>
  <c r="A4602" i="1"/>
  <c r="B4602" i="1"/>
  <c r="A4603" i="1"/>
  <c r="B4603" i="1"/>
  <c r="A4604" i="1"/>
  <c r="B4604" i="1"/>
  <c r="A4605" i="1"/>
  <c r="B4605" i="1"/>
  <c r="A4606" i="1"/>
  <c r="B4606" i="1"/>
  <c r="A4607" i="1"/>
  <c r="B4607" i="1"/>
  <c r="A4608" i="1"/>
  <c r="B4608" i="1"/>
  <c r="A4609" i="1"/>
  <c r="B4609" i="1"/>
  <c r="A4610" i="1"/>
  <c r="B4610" i="1"/>
  <c r="A4611" i="1"/>
  <c r="B4611" i="1"/>
  <c r="A4612" i="1"/>
  <c r="B4612" i="1"/>
  <c r="A4613" i="1"/>
  <c r="B4613" i="1"/>
  <c r="A4614" i="1"/>
  <c r="A4615" i="1"/>
  <c r="B4615" i="1"/>
  <c r="A4616" i="1"/>
  <c r="B4616" i="1"/>
  <c r="A4617" i="1"/>
  <c r="B4617" i="1"/>
  <c r="A4618" i="1"/>
  <c r="B4618" i="1"/>
  <c r="A4619" i="1"/>
  <c r="A4620" i="1"/>
  <c r="A4621" i="1"/>
  <c r="A4622" i="1"/>
  <c r="B4622" i="1"/>
  <c r="A4623" i="1"/>
  <c r="B4623" i="1"/>
  <c r="A4624" i="1"/>
  <c r="B4624" i="1"/>
  <c r="A4625" i="1"/>
  <c r="B4625" i="1"/>
  <c r="A4626" i="1"/>
  <c r="B4626" i="1"/>
  <c r="A4627" i="1"/>
  <c r="B4627" i="1"/>
  <c r="A4628" i="1"/>
  <c r="B4628" i="1"/>
  <c r="A4629" i="1"/>
  <c r="B4629" i="1"/>
  <c r="A4630" i="1"/>
  <c r="B4630" i="1"/>
  <c r="A4631" i="1"/>
  <c r="B4631" i="1"/>
  <c r="A4632" i="1"/>
  <c r="B4632" i="1"/>
  <c r="A4633" i="1"/>
  <c r="B4633" i="1"/>
  <c r="A4634" i="1"/>
  <c r="B4634" i="1"/>
  <c r="A4635" i="1"/>
  <c r="A4636" i="1"/>
  <c r="A4637" i="1"/>
  <c r="B4637" i="1"/>
  <c r="A4638" i="1"/>
  <c r="B4638" i="1"/>
  <c r="A4639" i="1"/>
  <c r="B4639" i="1"/>
  <c r="A4640" i="1"/>
  <c r="B4640" i="1"/>
  <c r="A4641" i="1"/>
  <c r="B4641" i="1"/>
  <c r="A4642" i="1"/>
  <c r="B4642" i="1"/>
  <c r="A4643" i="1"/>
  <c r="A4644" i="1"/>
  <c r="B4644" i="1"/>
  <c r="A4645" i="1"/>
  <c r="B4645" i="1"/>
  <c r="A4646" i="1"/>
  <c r="B4646" i="1"/>
  <c r="A4647" i="1"/>
  <c r="B4647" i="1"/>
  <c r="A4648" i="1"/>
  <c r="B4648" i="1"/>
  <c r="A4649" i="1"/>
  <c r="B4649" i="1"/>
  <c r="A4650" i="1"/>
  <c r="B4650" i="1"/>
  <c r="A4651" i="1"/>
  <c r="A4652" i="1"/>
  <c r="B4652" i="1"/>
  <c r="A4653" i="1"/>
  <c r="B4653" i="1"/>
  <c r="A4654" i="1"/>
  <c r="B4654" i="1"/>
  <c r="A4655" i="1"/>
  <c r="B4655" i="1"/>
  <c r="A4656" i="1"/>
  <c r="A4657" i="1"/>
  <c r="B4657" i="1"/>
  <c r="A4658" i="1"/>
  <c r="B4658" i="1"/>
  <c r="A4659" i="1"/>
  <c r="B4659" i="1"/>
  <c r="A4660" i="1"/>
  <c r="B4660" i="1"/>
  <c r="A4661" i="1"/>
  <c r="B4661" i="1"/>
  <c r="A4662" i="1"/>
  <c r="B4662" i="1"/>
  <c r="A4663" i="1"/>
  <c r="B4663" i="1"/>
  <c r="A4664" i="1"/>
  <c r="B4664" i="1"/>
  <c r="A4665" i="1"/>
  <c r="B4665" i="1"/>
  <c r="A4666" i="1"/>
  <c r="A4667" i="1"/>
  <c r="A4668" i="1"/>
  <c r="A4669" i="1"/>
  <c r="A4670" i="1"/>
  <c r="B4670" i="1"/>
  <c r="A4671" i="1"/>
  <c r="A4672" i="1"/>
  <c r="A4673" i="1"/>
  <c r="A4674" i="1"/>
  <c r="B4674" i="1"/>
  <c r="A4675" i="1"/>
  <c r="B4675" i="1"/>
  <c r="A4676" i="1"/>
  <c r="A4677" i="1"/>
  <c r="B4677" i="1"/>
  <c r="A4678" i="1"/>
  <c r="B4678" i="1"/>
  <c r="A4679" i="1"/>
  <c r="B4679" i="1"/>
  <c r="A4680" i="1"/>
  <c r="B4680" i="1"/>
  <c r="A4681" i="1"/>
  <c r="B4681" i="1"/>
  <c r="A4682" i="1"/>
  <c r="B4682" i="1"/>
  <c r="A4683" i="1"/>
  <c r="B4683" i="1"/>
  <c r="A4684" i="1"/>
  <c r="A4685" i="1"/>
  <c r="B4685" i="1"/>
  <c r="A4686" i="1"/>
  <c r="A4687" i="1"/>
  <c r="B4687" i="1"/>
  <c r="A4688" i="1"/>
  <c r="B4688" i="1"/>
  <c r="A4689" i="1"/>
  <c r="B4689" i="1"/>
  <c r="A4690" i="1"/>
  <c r="B4690" i="1"/>
  <c r="A4691" i="1"/>
  <c r="A4692" i="1"/>
  <c r="B4692" i="1"/>
  <c r="A4693" i="1"/>
  <c r="B4693" i="1"/>
  <c r="A4694" i="1"/>
  <c r="B4694" i="1"/>
  <c r="A4695" i="1"/>
  <c r="A4696" i="1"/>
  <c r="A4697" i="1"/>
  <c r="B4697" i="1"/>
  <c r="A4698" i="1"/>
  <c r="B4698" i="1"/>
  <c r="A4699" i="1"/>
  <c r="B4699" i="1"/>
  <c r="A4700" i="1"/>
  <c r="B4700" i="1"/>
  <c r="A4701" i="1"/>
  <c r="B4701" i="1"/>
  <c r="A4702" i="1"/>
  <c r="B4702" i="1"/>
  <c r="A4703" i="1"/>
  <c r="A4704" i="1"/>
  <c r="B4704" i="1"/>
  <c r="A4705" i="1"/>
  <c r="B4705" i="1"/>
  <c r="A4706" i="1"/>
  <c r="A4707" i="1"/>
  <c r="A4708" i="1"/>
  <c r="B4708" i="1"/>
  <c r="A4709" i="1"/>
  <c r="A4710" i="1"/>
  <c r="B4710" i="1"/>
  <c r="A4711" i="1"/>
  <c r="B4711" i="1"/>
  <c r="A4712" i="1"/>
  <c r="B4712" i="1"/>
  <c r="A4713" i="1"/>
  <c r="B4713" i="1"/>
  <c r="A4714" i="1"/>
  <c r="B4714" i="1"/>
  <c r="A4715" i="1"/>
  <c r="B4715" i="1"/>
  <c r="A4716" i="1"/>
  <c r="B4716" i="1"/>
  <c r="A4717" i="1"/>
  <c r="B4717" i="1"/>
  <c r="A4718" i="1"/>
  <c r="B4718" i="1"/>
  <c r="A4719" i="1"/>
  <c r="B4719" i="1"/>
  <c r="A4720" i="1"/>
  <c r="A4721" i="1"/>
  <c r="B4721" i="1"/>
  <c r="A4722" i="1"/>
  <c r="B4722" i="1"/>
  <c r="A4723" i="1"/>
  <c r="A4724" i="1"/>
  <c r="B4724" i="1"/>
  <c r="A4725" i="1"/>
  <c r="B4725" i="1"/>
  <c r="A4726" i="1"/>
  <c r="B4726" i="1"/>
  <c r="A4727" i="1"/>
  <c r="B4727" i="1"/>
  <c r="A4728" i="1"/>
  <c r="B4728" i="1"/>
  <c r="A4729" i="1"/>
  <c r="B4729" i="1"/>
  <c r="A4730" i="1"/>
  <c r="B4730" i="1"/>
  <c r="A4731" i="1"/>
  <c r="B4731" i="1"/>
  <c r="A4732" i="1"/>
  <c r="B4732" i="1"/>
  <c r="A4733" i="1"/>
  <c r="B4733" i="1"/>
  <c r="A4734" i="1"/>
  <c r="B4734" i="1"/>
  <c r="A4735" i="1"/>
  <c r="B4735" i="1"/>
  <c r="A4736" i="1"/>
  <c r="B4736" i="1"/>
  <c r="A4737" i="1"/>
  <c r="B4737" i="1"/>
  <c r="A4738" i="1"/>
  <c r="B4738" i="1"/>
  <c r="A4739" i="1"/>
  <c r="B4739" i="1"/>
  <c r="A4740" i="1"/>
  <c r="B4740" i="1"/>
  <c r="A4741" i="1"/>
  <c r="B4741" i="1"/>
  <c r="A4742" i="1"/>
  <c r="B4742" i="1"/>
  <c r="A4743" i="1"/>
  <c r="B4743" i="1"/>
  <c r="A4744" i="1"/>
  <c r="B4744" i="1"/>
  <c r="A4745" i="1"/>
  <c r="B4745" i="1"/>
  <c r="A4746" i="1"/>
  <c r="A4747" i="1"/>
  <c r="B4747" i="1"/>
  <c r="A4748" i="1"/>
  <c r="A4749" i="1"/>
  <c r="B4749" i="1"/>
  <c r="A4750" i="1"/>
  <c r="A4751" i="1"/>
  <c r="B4751" i="1"/>
  <c r="A4752" i="1"/>
  <c r="B4752" i="1"/>
  <c r="A4753" i="1"/>
  <c r="B4753" i="1"/>
  <c r="A4754" i="1"/>
  <c r="B4754" i="1"/>
  <c r="A4755" i="1"/>
  <c r="B4755" i="1"/>
  <c r="A4756" i="1"/>
  <c r="B4756" i="1"/>
  <c r="A4757" i="1"/>
  <c r="B4757" i="1"/>
  <c r="A4758" i="1"/>
  <c r="A4759" i="1"/>
  <c r="B4759" i="1"/>
  <c r="A4760" i="1"/>
  <c r="B4760" i="1"/>
  <c r="A4761" i="1"/>
  <c r="B4761" i="1"/>
  <c r="A4762" i="1"/>
  <c r="B4762" i="1"/>
  <c r="A4763" i="1"/>
  <c r="B4763" i="1"/>
  <c r="A4764" i="1"/>
  <c r="B4764" i="1"/>
  <c r="A4765" i="1"/>
  <c r="B4765" i="1"/>
  <c r="A4766" i="1"/>
  <c r="B4766" i="1"/>
  <c r="A4767" i="1"/>
  <c r="B4767" i="1"/>
  <c r="A4768" i="1"/>
  <c r="B4768" i="1"/>
  <c r="A4769" i="1"/>
  <c r="B4769" i="1"/>
  <c r="A4770" i="1"/>
  <c r="B4770" i="1"/>
  <c r="A4771" i="1"/>
  <c r="A4772" i="1"/>
  <c r="B4772" i="1"/>
  <c r="A4773" i="1"/>
  <c r="B4773" i="1"/>
  <c r="A4774" i="1"/>
  <c r="B4774" i="1"/>
  <c r="A4775" i="1"/>
  <c r="B4775" i="1"/>
  <c r="A4776" i="1"/>
  <c r="B4776" i="1"/>
  <c r="A4777" i="1"/>
  <c r="A4778" i="1"/>
  <c r="B4778" i="1"/>
  <c r="A4779" i="1"/>
  <c r="B4779" i="1"/>
  <c r="A4780" i="1"/>
  <c r="B4780" i="1"/>
  <c r="A4781" i="1"/>
  <c r="B4781" i="1"/>
  <c r="A4782" i="1"/>
  <c r="B4782" i="1"/>
  <c r="A4783" i="1"/>
  <c r="B4783" i="1"/>
  <c r="A4784" i="1"/>
  <c r="B4784" i="1"/>
  <c r="A4785" i="1"/>
  <c r="B4785" i="1"/>
  <c r="A4786" i="1"/>
  <c r="A4787" i="1"/>
  <c r="B4787" i="1"/>
  <c r="A4788" i="1"/>
  <c r="A4789" i="1"/>
  <c r="A4790" i="1"/>
  <c r="B4790" i="1"/>
  <c r="A4791" i="1"/>
  <c r="A4792" i="1"/>
  <c r="A4793" i="1"/>
  <c r="A4794" i="1"/>
  <c r="A4795" i="1"/>
  <c r="A4796" i="1"/>
  <c r="A4797" i="1"/>
  <c r="A4798" i="1"/>
  <c r="A4799" i="1"/>
  <c r="B4799" i="1"/>
  <c r="A4800" i="1"/>
  <c r="B4800" i="1"/>
  <c r="A4801" i="1"/>
  <c r="B4801" i="1"/>
  <c r="A4802" i="1"/>
  <c r="B4802" i="1"/>
  <c r="A4803" i="1"/>
  <c r="B4803" i="1"/>
  <c r="A4804" i="1"/>
  <c r="B4804" i="1"/>
  <c r="A4805" i="1"/>
  <c r="B4805" i="1"/>
  <c r="A4806" i="1"/>
  <c r="B4806" i="1"/>
  <c r="A4807" i="1"/>
  <c r="B4807" i="1"/>
  <c r="A4808" i="1"/>
  <c r="B4808" i="1"/>
  <c r="A4809" i="1"/>
  <c r="B4809" i="1"/>
  <c r="A4810" i="1"/>
  <c r="B4810" i="1"/>
  <c r="A4811" i="1"/>
  <c r="A4812" i="1"/>
  <c r="A4813" i="1"/>
  <c r="A4814" i="1"/>
  <c r="A4815" i="1"/>
  <c r="B4815" i="1"/>
  <c r="A4816" i="1"/>
  <c r="B4816" i="1"/>
  <c r="A4817" i="1"/>
  <c r="B4817" i="1"/>
  <c r="A4818" i="1"/>
  <c r="B4818" i="1"/>
  <c r="A4819" i="1"/>
  <c r="B4819" i="1"/>
  <c r="A4820" i="1"/>
  <c r="B4820" i="1"/>
  <c r="A4821" i="1"/>
  <c r="B4821" i="1"/>
  <c r="A4822" i="1"/>
  <c r="B4822" i="1"/>
  <c r="A4823" i="1"/>
  <c r="B4823" i="1"/>
  <c r="A4824" i="1"/>
  <c r="A4825" i="1"/>
  <c r="B4825" i="1"/>
  <c r="A4826" i="1"/>
  <c r="A4827" i="1"/>
  <c r="B4827" i="1"/>
  <c r="A4828" i="1"/>
  <c r="A4829" i="1"/>
  <c r="B4829" i="1"/>
  <c r="A4830" i="1"/>
  <c r="B4830" i="1"/>
  <c r="A4831" i="1"/>
  <c r="B4831" i="1"/>
  <c r="A4832" i="1"/>
  <c r="A4833" i="1"/>
  <c r="B4833" i="1"/>
  <c r="A4834" i="1"/>
  <c r="B4834" i="1"/>
  <c r="A4835" i="1"/>
  <c r="B4835" i="1"/>
  <c r="A4836" i="1"/>
  <c r="B4836" i="1"/>
  <c r="A4837" i="1"/>
  <c r="B4837" i="1"/>
  <c r="A4838" i="1"/>
  <c r="B4838" i="1"/>
  <c r="A4839" i="1"/>
  <c r="B4839" i="1"/>
  <c r="A4840" i="1"/>
  <c r="A4841" i="1"/>
  <c r="B4841" i="1"/>
  <c r="A4842" i="1"/>
  <c r="B4842" i="1"/>
  <c r="A4843" i="1"/>
  <c r="B4843" i="1"/>
  <c r="A4844" i="1"/>
  <c r="B4844" i="1"/>
  <c r="A4845" i="1"/>
  <c r="B4845" i="1"/>
  <c r="A4846" i="1"/>
  <c r="B4846" i="1"/>
  <c r="A4847" i="1"/>
  <c r="B4847" i="1"/>
  <c r="A4848" i="1"/>
  <c r="B4848" i="1"/>
  <c r="A4849" i="1"/>
  <c r="B4849" i="1"/>
  <c r="A4850" i="1"/>
  <c r="A4851" i="1"/>
  <c r="B4851" i="1"/>
  <c r="A4852" i="1"/>
  <c r="B4852" i="1"/>
  <c r="A4853" i="1"/>
  <c r="B4853" i="1"/>
  <c r="A4854" i="1"/>
  <c r="B4854" i="1"/>
  <c r="A4855" i="1"/>
  <c r="B4855" i="1"/>
  <c r="A4856" i="1"/>
  <c r="B4856" i="1"/>
  <c r="A4857" i="1"/>
  <c r="B4857" i="1"/>
  <c r="A4858" i="1"/>
  <c r="B4858" i="1"/>
  <c r="A4859" i="1"/>
  <c r="B4859" i="1"/>
  <c r="A4860" i="1"/>
  <c r="B4860" i="1"/>
  <c r="A4861" i="1"/>
  <c r="B4861" i="1"/>
  <c r="A4862" i="1"/>
  <c r="B4862" i="1"/>
  <c r="A4863" i="1"/>
  <c r="A4864" i="1"/>
  <c r="B4864" i="1"/>
  <c r="A4865" i="1"/>
  <c r="B4865" i="1"/>
  <c r="A4866" i="1"/>
  <c r="B4866" i="1"/>
  <c r="A4867" i="1"/>
  <c r="A4868" i="1"/>
  <c r="B4868" i="1"/>
  <c r="A4869" i="1"/>
  <c r="B4869" i="1"/>
  <c r="A4870" i="1"/>
  <c r="B4870" i="1"/>
  <c r="A4871" i="1"/>
  <c r="B4871" i="1"/>
  <c r="A4872" i="1"/>
  <c r="A4873" i="1"/>
  <c r="A4874" i="1"/>
  <c r="B4874" i="1"/>
  <c r="A4875" i="1"/>
  <c r="B4875" i="1"/>
  <c r="A4876" i="1"/>
  <c r="A4877" i="1"/>
  <c r="B4877" i="1"/>
  <c r="A4878" i="1"/>
  <c r="B4878" i="1"/>
  <c r="A4879" i="1"/>
  <c r="B4879" i="1"/>
  <c r="A4880" i="1"/>
  <c r="B4880" i="1"/>
  <c r="A4881" i="1"/>
  <c r="B4881" i="1"/>
  <c r="A4882" i="1"/>
  <c r="B4882" i="1"/>
  <c r="A4883" i="1"/>
  <c r="B4883" i="1"/>
  <c r="A4884" i="1"/>
  <c r="B4884" i="1"/>
  <c r="A4885" i="1"/>
  <c r="B4885" i="1"/>
  <c r="A4886" i="1"/>
  <c r="B4886" i="1"/>
  <c r="A4887" i="1"/>
  <c r="B4887" i="1"/>
  <c r="A4888" i="1"/>
  <c r="B4888" i="1"/>
  <c r="A4889" i="1"/>
  <c r="B4889" i="1"/>
  <c r="A4890" i="1"/>
  <c r="B4890" i="1"/>
  <c r="A4891" i="1"/>
  <c r="B4891" i="1"/>
  <c r="A4892" i="1"/>
  <c r="B4892" i="1"/>
  <c r="A4893" i="1"/>
  <c r="B4893" i="1"/>
  <c r="A4894" i="1"/>
  <c r="B4894" i="1"/>
  <c r="A4895" i="1"/>
  <c r="B4895" i="1"/>
  <c r="A4896" i="1"/>
  <c r="B4896" i="1"/>
  <c r="A4897" i="1"/>
  <c r="B4897" i="1"/>
  <c r="A4898" i="1"/>
  <c r="B4898" i="1"/>
  <c r="A4899" i="1"/>
  <c r="B4899" i="1"/>
  <c r="A4900" i="1"/>
  <c r="B4900" i="1"/>
  <c r="A4901" i="1"/>
  <c r="B4901" i="1"/>
  <c r="A4902" i="1"/>
  <c r="B4902" i="1"/>
  <c r="A4903" i="1"/>
  <c r="B4903" i="1"/>
  <c r="A4904" i="1"/>
  <c r="B4904" i="1"/>
  <c r="A4905" i="1"/>
  <c r="B4905" i="1"/>
  <c r="A4906" i="1"/>
  <c r="B4906" i="1"/>
  <c r="A4907" i="1"/>
  <c r="B4907" i="1"/>
  <c r="A4908" i="1"/>
  <c r="B4908" i="1"/>
  <c r="A4909" i="1"/>
  <c r="A4910" i="1"/>
  <c r="B4910" i="1"/>
  <c r="A4911" i="1"/>
  <c r="B4911" i="1"/>
  <c r="A4912" i="1"/>
  <c r="B4912" i="1"/>
  <c r="A4913" i="1"/>
  <c r="A4914" i="1"/>
  <c r="B4914" i="1"/>
  <c r="A4915" i="1"/>
  <c r="B4915" i="1"/>
  <c r="A4916" i="1"/>
  <c r="B4916" i="1"/>
  <c r="A4917" i="1"/>
  <c r="A4918" i="1"/>
  <c r="B4918" i="1"/>
  <c r="A4919" i="1"/>
  <c r="A4920" i="1"/>
  <c r="B4920" i="1"/>
  <c r="A4921" i="1"/>
  <c r="B4921" i="1"/>
  <c r="A4922" i="1"/>
  <c r="B4922" i="1"/>
  <c r="A4923" i="1"/>
  <c r="B4923" i="1"/>
  <c r="A4924" i="1"/>
  <c r="A4925" i="1"/>
  <c r="B4925" i="1"/>
  <c r="A4926" i="1"/>
  <c r="B4926" i="1"/>
  <c r="A4927" i="1"/>
  <c r="B4927" i="1"/>
  <c r="A4928" i="1"/>
  <c r="B4928" i="1"/>
  <c r="A4929" i="1"/>
  <c r="B4929" i="1"/>
  <c r="A4930" i="1"/>
  <c r="A4931" i="1"/>
  <c r="B4931" i="1"/>
  <c r="A4932" i="1"/>
  <c r="B4932" i="1"/>
  <c r="A4933" i="1"/>
  <c r="A4934" i="1"/>
  <c r="B4934" i="1"/>
  <c r="A4935" i="1"/>
  <c r="B4935" i="1"/>
  <c r="A4936" i="1"/>
  <c r="A4937" i="1"/>
  <c r="B4937" i="1"/>
  <c r="A4938" i="1"/>
  <c r="B4938" i="1"/>
  <c r="A4939" i="1"/>
  <c r="B4939" i="1"/>
  <c r="A4940" i="1"/>
  <c r="A4941" i="1"/>
  <c r="B4941" i="1"/>
  <c r="A4942" i="1"/>
  <c r="B4942" i="1"/>
  <c r="A4943" i="1"/>
  <c r="B4943" i="1"/>
  <c r="A4944" i="1"/>
  <c r="B4944" i="1"/>
  <c r="A4945" i="1"/>
  <c r="B4945" i="1"/>
  <c r="A4946" i="1"/>
  <c r="B4946" i="1"/>
  <c r="A4947" i="1"/>
  <c r="B4947" i="1"/>
  <c r="A4948" i="1"/>
  <c r="B4948" i="1"/>
  <c r="A4949" i="1"/>
  <c r="B4949" i="1"/>
  <c r="A4950" i="1"/>
  <c r="B4950" i="1"/>
  <c r="A4951" i="1"/>
  <c r="B4951" i="1"/>
  <c r="A4952" i="1"/>
  <c r="B4952" i="1"/>
  <c r="A4953" i="1"/>
  <c r="B4953" i="1"/>
  <c r="A4954" i="1"/>
  <c r="A4955" i="1"/>
  <c r="B4955" i="1"/>
  <c r="A4956" i="1"/>
  <c r="B4956" i="1"/>
  <c r="A4957" i="1"/>
  <c r="B4957" i="1"/>
  <c r="A4958" i="1"/>
  <c r="B4958" i="1"/>
  <c r="A4959" i="1"/>
  <c r="A4960" i="1"/>
  <c r="B4960" i="1"/>
  <c r="A4961" i="1"/>
  <c r="A4962" i="1"/>
  <c r="A4963" i="1"/>
  <c r="B4963" i="1"/>
  <c r="A4964" i="1"/>
  <c r="B4964" i="1"/>
  <c r="A4965" i="1"/>
  <c r="B4965" i="1"/>
  <c r="A4966" i="1"/>
  <c r="B4966" i="1"/>
  <c r="A4967" i="1"/>
  <c r="A4968" i="1"/>
  <c r="B4968" i="1"/>
  <c r="A4969" i="1"/>
  <c r="B4969" i="1"/>
  <c r="A4970" i="1"/>
  <c r="B4970" i="1"/>
  <c r="A4971" i="1"/>
  <c r="B4971" i="1"/>
  <c r="A4972" i="1"/>
  <c r="B4972" i="1"/>
  <c r="A4973" i="1"/>
  <c r="B4973" i="1"/>
  <c r="A4974" i="1"/>
  <c r="A4975" i="1"/>
  <c r="B4975" i="1"/>
  <c r="A4976" i="1"/>
  <c r="A4977" i="1"/>
  <c r="B4977" i="1"/>
  <c r="A4978" i="1"/>
  <c r="B4978" i="1"/>
  <c r="A4979" i="1"/>
  <c r="B4979" i="1"/>
  <c r="A4980" i="1"/>
  <c r="B4980" i="1"/>
  <c r="A4981" i="1"/>
  <c r="B4981" i="1"/>
  <c r="A4982" i="1"/>
  <c r="B4982" i="1"/>
  <c r="A4983" i="1"/>
  <c r="B4983" i="1"/>
  <c r="A4984" i="1"/>
  <c r="B4984" i="1"/>
  <c r="A4985" i="1"/>
  <c r="B4985" i="1"/>
  <c r="A4986" i="1"/>
  <c r="B4986" i="1"/>
  <c r="A4987" i="1"/>
  <c r="B4987" i="1"/>
  <c r="A4988" i="1"/>
  <c r="B4988" i="1"/>
  <c r="A4989" i="1"/>
  <c r="B4989" i="1"/>
  <c r="A4990" i="1"/>
  <c r="B4990" i="1"/>
  <c r="A4991" i="1"/>
  <c r="A4992" i="1"/>
  <c r="A4993" i="1"/>
  <c r="B4993" i="1"/>
  <c r="A4994" i="1"/>
  <c r="B4994" i="1"/>
  <c r="A4995" i="1"/>
  <c r="B4995" i="1"/>
  <c r="A4996" i="1"/>
  <c r="B4996" i="1"/>
  <c r="A4997" i="1"/>
  <c r="A4998" i="1"/>
  <c r="A4999" i="1"/>
  <c r="A5000" i="1"/>
  <c r="B5000" i="1"/>
  <c r="A5001" i="1"/>
  <c r="B5001" i="1"/>
  <c r="A5002" i="1"/>
  <c r="B5002" i="1"/>
  <c r="A5003" i="1"/>
  <c r="B5003" i="1"/>
  <c r="A5004" i="1"/>
  <c r="B5004" i="1"/>
  <c r="A5005" i="1"/>
  <c r="B5005" i="1"/>
  <c r="A5006" i="1"/>
  <c r="B5006" i="1"/>
  <c r="A5007" i="1"/>
  <c r="B5007" i="1"/>
  <c r="A5008" i="1"/>
  <c r="B5008" i="1"/>
  <c r="A5009" i="1"/>
  <c r="B5009" i="1"/>
  <c r="A5010" i="1"/>
  <c r="B5010" i="1"/>
  <c r="A5011" i="1"/>
  <c r="B5011" i="1"/>
  <c r="A5012" i="1"/>
  <c r="A5013" i="1"/>
  <c r="B5013" i="1"/>
  <c r="A5014" i="1"/>
  <c r="B5014" i="1"/>
  <c r="A5015" i="1"/>
  <c r="B5015" i="1"/>
  <c r="A5016" i="1"/>
  <c r="B5016" i="1"/>
  <c r="A5017" i="1"/>
  <c r="B5017" i="1"/>
  <c r="A5018" i="1"/>
  <c r="B5018" i="1"/>
  <c r="A5019" i="1"/>
  <c r="B5019" i="1"/>
  <c r="A5020" i="1"/>
  <c r="B5020" i="1"/>
  <c r="A5021" i="1"/>
  <c r="B5021" i="1"/>
  <c r="A5022" i="1"/>
  <c r="B5022" i="1"/>
  <c r="A5023" i="1"/>
  <c r="B5023" i="1"/>
  <c r="A5024" i="1"/>
  <c r="B5024" i="1"/>
  <c r="A5025" i="1"/>
  <c r="B5025" i="1"/>
  <c r="A5026" i="1"/>
  <c r="B5026" i="1"/>
  <c r="A5027" i="1"/>
  <c r="B5027" i="1"/>
  <c r="A5028" i="1"/>
  <c r="B5028" i="1"/>
  <c r="A5029" i="1"/>
  <c r="B5029" i="1"/>
  <c r="A5030" i="1"/>
  <c r="B5030" i="1"/>
  <c r="A5031" i="1"/>
  <c r="A5032" i="1"/>
  <c r="B5032" i="1"/>
  <c r="A5033" i="1"/>
  <c r="B5033" i="1"/>
  <c r="A5034" i="1"/>
  <c r="B5034" i="1"/>
  <c r="A5035" i="1"/>
  <c r="B5035" i="1"/>
  <c r="A5036" i="1"/>
  <c r="B5036" i="1"/>
  <c r="A5037" i="1"/>
  <c r="A5038" i="1"/>
  <c r="B5038" i="1"/>
  <c r="A5039" i="1"/>
  <c r="B5039" i="1"/>
  <c r="A5040" i="1"/>
  <c r="B5040" i="1"/>
  <c r="A5041" i="1"/>
  <c r="B5041" i="1"/>
  <c r="A5042" i="1"/>
  <c r="B5042" i="1"/>
  <c r="A5043" i="1"/>
  <c r="B5043" i="1"/>
  <c r="A5044" i="1"/>
  <c r="B5044" i="1"/>
  <c r="A5045" i="1"/>
  <c r="B5045" i="1"/>
  <c r="A5046" i="1"/>
  <c r="B5046" i="1"/>
  <c r="A5047" i="1"/>
  <c r="B5047" i="1"/>
  <c r="A5048" i="1"/>
  <c r="B5048" i="1"/>
  <c r="A5049" i="1"/>
  <c r="B5049" i="1"/>
  <c r="A5050" i="1"/>
  <c r="B5050" i="1"/>
  <c r="A5051" i="1"/>
  <c r="B5051" i="1"/>
  <c r="A5052" i="1"/>
  <c r="B5052" i="1"/>
  <c r="A5053" i="1"/>
  <c r="B5053" i="1"/>
  <c r="A5054" i="1"/>
  <c r="B5054" i="1"/>
  <c r="A5055" i="1"/>
  <c r="B5055" i="1"/>
  <c r="A5056" i="1"/>
  <c r="B5056" i="1"/>
  <c r="A5057" i="1"/>
  <c r="A5058" i="1"/>
  <c r="B5058" i="1"/>
  <c r="A5059" i="1"/>
  <c r="A5060" i="1"/>
  <c r="A5061" i="1"/>
  <c r="B5061" i="1"/>
  <c r="A5062" i="1"/>
  <c r="B5062" i="1"/>
  <c r="A5063" i="1"/>
  <c r="B5063" i="1"/>
  <c r="A5064" i="1"/>
  <c r="B5064" i="1"/>
  <c r="A5065" i="1"/>
  <c r="B5065" i="1"/>
  <c r="A5066" i="1"/>
  <c r="B5066" i="1"/>
  <c r="A5067" i="1"/>
  <c r="B5067" i="1"/>
  <c r="A5068" i="1"/>
  <c r="B5068" i="1"/>
  <c r="A5069" i="1"/>
  <c r="B5069" i="1"/>
  <c r="A5070" i="1"/>
  <c r="B5070" i="1"/>
  <c r="A5071" i="1"/>
  <c r="B5071" i="1"/>
  <c r="A5072" i="1"/>
  <c r="B5072" i="1"/>
  <c r="A5073" i="1"/>
  <c r="B5073" i="1"/>
  <c r="A5074" i="1"/>
  <c r="B5074" i="1"/>
  <c r="A5075" i="1"/>
  <c r="B5075" i="1"/>
  <c r="A5076" i="1"/>
  <c r="B5076" i="1"/>
  <c r="A5077" i="1"/>
  <c r="B5077" i="1"/>
  <c r="A5078" i="1"/>
  <c r="B5078" i="1"/>
  <c r="A5079" i="1"/>
  <c r="B5079" i="1"/>
  <c r="A5080" i="1"/>
  <c r="B5080" i="1"/>
  <c r="A5081" i="1"/>
  <c r="B5081" i="1"/>
  <c r="A5082" i="1"/>
  <c r="B5082" i="1"/>
  <c r="A5083" i="1"/>
  <c r="B5083" i="1"/>
  <c r="A5084" i="1"/>
  <c r="A5085" i="1"/>
  <c r="B5085" i="1"/>
  <c r="A5086" i="1"/>
  <c r="B5086" i="1"/>
  <c r="A5087" i="1"/>
  <c r="B5087" i="1"/>
  <c r="A5088" i="1"/>
  <c r="B5088" i="1"/>
  <c r="A5089" i="1"/>
  <c r="B5089" i="1"/>
  <c r="A5090" i="1"/>
  <c r="B5090" i="1"/>
  <c r="A5091" i="1"/>
  <c r="A5092" i="1"/>
  <c r="B5092" i="1"/>
  <c r="A5093" i="1"/>
  <c r="B5093" i="1"/>
  <c r="A5094" i="1"/>
  <c r="B5094" i="1"/>
  <c r="A5095" i="1"/>
  <c r="B5095" i="1"/>
  <c r="A5096" i="1"/>
  <c r="B5096" i="1"/>
  <c r="A5097" i="1"/>
  <c r="B5097" i="1"/>
  <c r="A5098" i="1"/>
  <c r="B5098" i="1"/>
  <c r="A5099" i="1"/>
  <c r="A5100" i="1"/>
  <c r="B5100" i="1"/>
  <c r="A5101" i="1"/>
  <c r="B5101" i="1"/>
  <c r="A5102" i="1"/>
  <c r="B5102" i="1"/>
  <c r="A5103" i="1"/>
  <c r="A5104" i="1"/>
  <c r="B5104" i="1"/>
  <c r="A5105" i="1"/>
  <c r="B5105" i="1"/>
  <c r="A5106" i="1"/>
  <c r="B5106" i="1"/>
  <c r="A5107" i="1"/>
  <c r="B5107" i="1"/>
  <c r="A5108" i="1"/>
  <c r="B5108" i="1"/>
  <c r="A5109" i="1"/>
  <c r="B5109" i="1"/>
  <c r="A5110" i="1"/>
  <c r="B5110" i="1"/>
  <c r="A5111" i="1"/>
  <c r="B5111" i="1"/>
  <c r="A5112" i="1"/>
  <c r="B5112" i="1"/>
  <c r="A5113" i="1"/>
  <c r="B5113" i="1"/>
  <c r="A5114" i="1"/>
  <c r="A5115" i="1"/>
  <c r="B5115" i="1"/>
  <c r="A5116" i="1"/>
  <c r="B5116" i="1"/>
  <c r="A5117" i="1"/>
  <c r="B5117" i="1"/>
  <c r="A5118" i="1"/>
  <c r="B5118" i="1"/>
  <c r="A5119" i="1"/>
  <c r="B5119" i="1"/>
  <c r="A5120" i="1"/>
  <c r="A5121" i="1"/>
  <c r="A5122" i="1"/>
  <c r="A5123" i="1"/>
  <c r="B5123" i="1"/>
  <c r="A5124" i="1"/>
  <c r="B5124" i="1"/>
  <c r="A5125" i="1"/>
  <c r="A5126" i="1"/>
  <c r="B5126" i="1"/>
  <c r="A5127" i="1"/>
  <c r="B5127" i="1"/>
  <c r="A5128" i="1"/>
  <c r="B5128" i="1"/>
  <c r="A5129" i="1"/>
  <c r="B5129" i="1"/>
  <c r="A5130" i="1"/>
  <c r="B5130" i="1"/>
  <c r="A5131" i="1"/>
  <c r="A5132" i="1"/>
  <c r="A5133" i="1"/>
  <c r="A5134" i="1"/>
  <c r="B5134" i="1"/>
  <c r="A5135" i="1"/>
  <c r="B5135" i="1"/>
  <c r="A5136" i="1"/>
  <c r="B5136" i="1"/>
  <c r="A5137" i="1"/>
  <c r="B5137" i="1"/>
  <c r="A5138" i="1"/>
  <c r="B5138" i="1"/>
  <c r="A5139" i="1"/>
  <c r="B5139" i="1"/>
  <c r="A5140" i="1"/>
  <c r="B5140" i="1"/>
  <c r="A5141" i="1"/>
  <c r="A5142" i="1"/>
  <c r="A5143" i="1"/>
  <c r="B5143" i="1"/>
  <c r="A5144" i="1"/>
  <c r="B5144" i="1"/>
  <c r="A5145" i="1"/>
  <c r="B5145" i="1"/>
  <c r="A5146" i="1"/>
  <c r="B5146" i="1"/>
  <c r="A5147" i="1"/>
  <c r="B5147" i="1"/>
  <c r="A5148" i="1"/>
  <c r="B5148" i="1"/>
  <c r="A5149" i="1"/>
  <c r="B5149" i="1"/>
  <c r="A5150" i="1"/>
  <c r="B5150" i="1"/>
  <c r="A5151" i="1"/>
  <c r="B5151" i="1"/>
  <c r="A5152" i="1"/>
  <c r="A5153" i="1"/>
  <c r="A5154" i="1"/>
  <c r="B5154" i="1"/>
  <c r="A5155" i="1"/>
  <c r="B5155" i="1"/>
  <c r="A5156" i="1"/>
  <c r="B5156" i="1"/>
  <c r="A5157" i="1"/>
  <c r="B5157" i="1"/>
  <c r="A5158" i="1"/>
  <c r="B5158" i="1"/>
  <c r="A5159" i="1"/>
  <c r="B5159" i="1"/>
  <c r="A5160" i="1"/>
  <c r="A5161" i="1"/>
  <c r="B5161" i="1"/>
  <c r="A5162" i="1"/>
  <c r="B5162" i="1"/>
  <c r="A5163" i="1"/>
  <c r="B5163" i="1"/>
  <c r="A5164" i="1"/>
  <c r="A5165" i="1"/>
  <c r="B5165" i="1"/>
  <c r="A5166" i="1"/>
  <c r="B5166" i="1"/>
  <c r="A5167" i="1"/>
  <c r="B5167" i="1"/>
  <c r="A5168" i="1"/>
  <c r="B5168" i="1"/>
  <c r="A5169" i="1"/>
  <c r="B5169" i="1"/>
  <c r="A5170" i="1"/>
  <c r="B5170" i="1"/>
  <c r="A5171" i="1"/>
  <c r="B5171" i="1"/>
  <c r="A5172" i="1"/>
  <c r="B5172" i="1"/>
  <c r="A5173" i="1"/>
  <c r="B5173" i="1"/>
  <c r="A5174" i="1"/>
  <c r="B5174" i="1"/>
  <c r="A5175" i="1"/>
  <c r="A5176" i="1"/>
  <c r="B5176" i="1"/>
  <c r="A5177" i="1"/>
  <c r="B5177" i="1"/>
  <c r="A5178" i="1"/>
  <c r="B5178" i="1"/>
  <c r="A5179" i="1"/>
  <c r="B5179" i="1"/>
  <c r="A5180" i="1"/>
  <c r="B5180" i="1"/>
  <c r="A5181" i="1"/>
  <c r="B5181" i="1"/>
  <c r="A5182" i="1"/>
  <c r="B5182" i="1"/>
  <c r="A5183" i="1"/>
  <c r="A5184" i="1"/>
  <c r="B5184" i="1"/>
  <c r="A5185" i="1"/>
  <c r="B5185" i="1"/>
  <c r="A5186" i="1"/>
  <c r="B5186" i="1"/>
  <c r="A5187" i="1"/>
  <c r="A5188" i="1"/>
  <c r="B5188" i="1"/>
  <c r="A5189" i="1"/>
  <c r="B5189" i="1"/>
  <c r="A5190" i="1"/>
  <c r="B5190" i="1"/>
  <c r="A5191" i="1"/>
  <c r="B5191" i="1"/>
  <c r="A5192" i="1"/>
  <c r="B5192" i="1"/>
  <c r="A5193" i="1"/>
  <c r="B5193" i="1"/>
  <c r="A5194" i="1"/>
  <c r="B5194" i="1"/>
  <c r="A5195" i="1"/>
  <c r="B5195" i="1"/>
  <c r="A5196" i="1"/>
  <c r="B5196" i="1"/>
  <c r="A5197" i="1"/>
  <c r="B5197" i="1"/>
  <c r="A5198" i="1"/>
  <c r="B5198" i="1"/>
  <c r="A5199" i="1"/>
  <c r="B5199" i="1"/>
  <c r="A5200" i="1"/>
  <c r="B5200" i="1"/>
  <c r="A5201" i="1"/>
  <c r="B5201" i="1"/>
  <c r="A5202" i="1"/>
  <c r="B5202" i="1"/>
  <c r="A5203" i="1"/>
  <c r="B5203" i="1"/>
  <c r="A5204" i="1"/>
  <c r="B5204" i="1"/>
  <c r="A5205" i="1"/>
  <c r="B5205" i="1"/>
  <c r="A5206" i="1"/>
  <c r="B5206" i="1"/>
  <c r="A5207" i="1"/>
  <c r="B5207" i="1"/>
  <c r="A5208" i="1"/>
  <c r="B5208" i="1"/>
  <c r="A5209" i="1"/>
  <c r="B5209" i="1"/>
  <c r="A5210" i="1"/>
  <c r="B5210" i="1"/>
  <c r="A5211" i="1"/>
  <c r="B5211" i="1"/>
  <c r="A5212" i="1"/>
  <c r="B5212" i="1"/>
  <c r="A5213" i="1"/>
  <c r="B5213" i="1"/>
  <c r="A5214" i="1"/>
  <c r="B5214" i="1"/>
  <c r="A5215" i="1"/>
  <c r="B5215" i="1"/>
  <c r="A5216" i="1"/>
  <c r="B5216" i="1"/>
  <c r="A5217" i="1"/>
  <c r="B5217" i="1"/>
  <c r="A5218" i="1"/>
  <c r="B5218" i="1"/>
  <c r="A5219" i="1"/>
  <c r="B5219" i="1"/>
  <c r="A5220" i="1"/>
  <c r="B5220" i="1"/>
  <c r="A5221" i="1"/>
  <c r="B5221" i="1"/>
  <c r="A5222" i="1"/>
  <c r="B5222" i="1"/>
  <c r="A5223" i="1"/>
  <c r="B5223" i="1"/>
  <c r="A5224" i="1"/>
  <c r="B5224" i="1"/>
  <c r="A5225" i="1"/>
  <c r="A5226" i="1"/>
  <c r="A5227" i="1"/>
  <c r="A5228" i="1"/>
  <c r="A5229" i="1"/>
  <c r="A5230" i="1"/>
  <c r="A5231" i="1"/>
  <c r="A5232" i="1"/>
  <c r="A5233" i="1"/>
  <c r="B5233" i="1"/>
  <c r="A5234" i="1"/>
  <c r="B5234" i="1"/>
  <c r="A5235" i="1"/>
  <c r="A5236" i="1"/>
  <c r="A5237" i="1"/>
  <c r="A5238" i="1"/>
  <c r="A5239" i="1"/>
  <c r="A5240" i="1"/>
  <c r="B5240" i="1"/>
  <c r="A5241" i="1"/>
  <c r="B5241" i="1"/>
  <c r="A5242" i="1"/>
  <c r="B5242" i="1"/>
  <c r="A5243" i="1"/>
  <c r="A5244" i="1"/>
  <c r="A5245" i="1"/>
  <c r="B5245" i="1"/>
  <c r="A5246" i="1"/>
  <c r="A5247" i="1"/>
  <c r="B5247" i="1"/>
  <c r="A5248" i="1"/>
  <c r="B5248" i="1"/>
  <c r="A5249" i="1"/>
  <c r="B5249" i="1"/>
  <c r="A5250" i="1"/>
  <c r="A5251" i="1"/>
  <c r="B5251" i="1"/>
  <c r="A5252" i="1"/>
  <c r="B5252" i="1"/>
  <c r="A5253" i="1"/>
  <c r="A5254" i="1"/>
  <c r="B5254" i="1"/>
  <c r="A5255" i="1"/>
  <c r="B5255" i="1"/>
  <c r="A5256" i="1"/>
  <c r="B5256" i="1"/>
  <c r="A5257" i="1"/>
  <c r="B5257" i="1"/>
  <c r="A5258" i="1"/>
  <c r="B5258" i="1"/>
  <c r="A5259" i="1"/>
  <c r="B5259" i="1"/>
  <c r="A5260" i="1"/>
  <c r="B5260" i="1"/>
  <c r="A5261" i="1"/>
  <c r="B5261" i="1"/>
  <c r="A5262" i="1"/>
  <c r="B5262" i="1"/>
  <c r="A5263" i="1"/>
  <c r="B5263" i="1"/>
  <c r="A5264" i="1"/>
  <c r="B5264" i="1"/>
  <c r="A5265" i="1"/>
  <c r="B5265" i="1"/>
  <c r="A5266" i="1"/>
  <c r="B5266" i="1"/>
  <c r="A5267" i="1"/>
  <c r="B5267" i="1"/>
  <c r="A5268" i="1"/>
  <c r="B5268" i="1"/>
  <c r="A5269" i="1"/>
  <c r="B5269" i="1"/>
  <c r="A5270" i="1"/>
  <c r="B5270" i="1"/>
  <c r="A5271" i="1"/>
  <c r="B5271" i="1"/>
  <c r="A5272" i="1"/>
  <c r="B5272" i="1"/>
  <c r="A5273" i="1"/>
  <c r="B5273" i="1"/>
  <c r="A5274" i="1"/>
  <c r="B5274" i="1"/>
  <c r="A5275" i="1"/>
  <c r="B5275" i="1"/>
  <c r="A5276" i="1"/>
  <c r="B5276" i="1"/>
  <c r="A5277" i="1"/>
  <c r="B5277" i="1"/>
  <c r="A5278" i="1"/>
  <c r="B5278" i="1"/>
  <c r="A5279" i="1"/>
  <c r="B5279" i="1"/>
  <c r="A5280" i="1"/>
  <c r="B5280" i="1"/>
  <c r="A5281" i="1"/>
  <c r="B5281" i="1"/>
  <c r="A5282" i="1"/>
  <c r="B5282" i="1"/>
  <c r="A5283" i="1"/>
  <c r="B5283" i="1"/>
  <c r="A5284" i="1"/>
  <c r="B5284" i="1"/>
  <c r="A5285" i="1"/>
  <c r="B5285" i="1"/>
  <c r="A5286" i="1"/>
  <c r="B5286" i="1"/>
  <c r="A5287" i="1"/>
  <c r="B5287" i="1"/>
  <c r="A5288" i="1"/>
  <c r="B5288" i="1"/>
  <c r="A5289" i="1"/>
  <c r="A5290" i="1"/>
  <c r="B5290" i="1"/>
  <c r="A5291" i="1"/>
  <c r="B5291" i="1"/>
  <c r="A5292" i="1"/>
  <c r="B5292" i="1"/>
  <c r="A5293" i="1"/>
  <c r="B5293" i="1"/>
  <c r="A5294" i="1"/>
  <c r="B5294" i="1"/>
  <c r="A5295" i="1"/>
  <c r="B5295" i="1"/>
  <c r="A5296" i="1"/>
  <c r="B5296" i="1"/>
  <c r="A5297" i="1"/>
  <c r="B5297" i="1"/>
  <c r="A5298" i="1"/>
  <c r="B5298" i="1"/>
  <c r="A5299" i="1"/>
  <c r="B5299" i="1"/>
  <c r="A5300" i="1"/>
  <c r="B5300" i="1"/>
  <c r="A5301" i="1"/>
  <c r="A5302" i="1"/>
  <c r="B5302" i="1"/>
  <c r="A5303" i="1"/>
  <c r="B5303" i="1"/>
  <c r="A5304" i="1"/>
  <c r="B5304" i="1"/>
  <c r="A5305" i="1"/>
  <c r="B5305" i="1"/>
  <c r="A5306" i="1"/>
  <c r="B5306" i="1"/>
  <c r="A5307" i="1"/>
  <c r="B5307" i="1"/>
  <c r="A5308" i="1"/>
  <c r="B5308" i="1"/>
  <c r="A5309" i="1"/>
  <c r="A5310" i="1"/>
  <c r="B5310" i="1"/>
  <c r="A5311" i="1"/>
  <c r="B5311" i="1"/>
  <c r="A5312" i="1"/>
  <c r="B5312" i="1"/>
  <c r="A5313" i="1"/>
  <c r="B5313" i="1"/>
  <c r="A5314" i="1"/>
  <c r="B5314" i="1"/>
  <c r="A5315" i="1"/>
  <c r="B5315" i="1"/>
  <c r="A5316" i="1"/>
  <c r="B5316" i="1"/>
  <c r="A5317" i="1"/>
  <c r="B5317" i="1"/>
  <c r="A5318" i="1"/>
  <c r="A5319" i="1"/>
  <c r="B5319" i="1"/>
  <c r="A5320" i="1"/>
  <c r="B5320" i="1"/>
  <c r="A5321" i="1"/>
  <c r="B5321" i="1"/>
  <c r="A5322" i="1"/>
  <c r="B5322" i="1"/>
  <c r="A5323" i="1"/>
  <c r="B5323" i="1"/>
  <c r="A5324" i="1"/>
  <c r="B5324" i="1"/>
  <c r="A5325" i="1"/>
  <c r="B5325" i="1"/>
  <c r="A5326" i="1"/>
  <c r="B5326" i="1"/>
  <c r="A5327" i="1"/>
  <c r="B5327" i="1"/>
  <c r="A5328" i="1"/>
  <c r="A5329" i="1"/>
  <c r="B5329" i="1"/>
  <c r="A5330" i="1"/>
  <c r="B5330" i="1"/>
  <c r="A5331" i="1"/>
  <c r="B5331" i="1"/>
  <c r="A5332" i="1"/>
  <c r="A5333" i="1"/>
  <c r="A5334" i="1"/>
  <c r="B5334" i="1"/>
  <c r="A5335" i="1"/>
  <c r="B5335" i="1"/>
  <c r="A5336" i="1"/>
  <c r="B5336" i="1"/>
  <c r="A5337" i="1"/>
  <c r="A5338" i="1"/>
  <c r="B5338" i="1"/>
  <c r="A5339" i="1"/>
  <c r="B5339" i="1"/>
  <c r="A5340" i="1"/>
  <c r="B5340" i="1"/>
  <c r="A5341" i="1"/>
  <c r="B5341" i="1"/>
  <c r="A5342" i="1"/>
  <c r="B5342" i="1"/>
  <c r="A5343" i="1"/>
  <c r="B5343" i="1"/>
  <c r="A5344" i="1"/>
  <c r="B5344" i="1"/>
  <c r="A5345" i="1"/>
  <c r="B5345" i="1"/>
  <c r="A5346" i="1"/>
  <c r="A5347" i="1"/>
  <c r="B5347" i="1"/>
  <c r="A5348" i="1"/>
  <c r="B5348" i="1"/>
  <c r="A5349" i="1"/>
  <c r="B5349" i="1"/>
  <c r="A5350" i="1"/>
  <c r="B5350" i="1"/>
  <c r="A5351" i="1"/>
  <c r="B5351" i="1"/>
  <c r="A5352" i="1"/>
  <c r="B5352" i="1"/>
  <c r="A5353" i="1"/>
  <c r="B5353" i="1"/>
  <c r="A5354" i="1"/>
  <c r="B5354" i="1"/>
  <c r="A5355" i="1"/>
  <c r="B5355" i="1"/>
  <c r="A5356" i="1"/>
  <c r="A5357" i="1"/>
  <c r="B5357" i="1"/>
  <c r="A5358" i="1"/>
  <c r="B5358" i="1"/>
  <c r="A5359" i="1"/>
  <c r="B5359" i="1"/>
  <c r="A5360" i="1"/>
  <c r="B5360" i="1"/>
  <c r="A5361" i="1"/>
  <c r="B5361" i="1"/>
  <c r="A5362" i="1"/>
  <c r="B5362" i="1"/>
  <c r="A5363" i="1"/>
  <c r="A5364" i="1"/>
  <c r="B5364" i="1"/>
  <c r="A5365" i="1"/>
  <c r="B5365" i="1"/>
  <c r="A5366" i="1"/>
  <c r="B5366" i="1"/>
  <c r="A5367" i="1"/>
  <c r="B5367" i="1"/>
  <c r="A5368" i="1"/>
  <c r="B5368" i="1"/>
  <c r="A5369" i="1"/>
  <c r="B5369" i="1"/>
  <c r="A5370" i="1"/>
  <c r="B5370" i="1"/>
  <c r="A5371" i="1"/>
  <c r="B5371" i="1"/>
  <c r="A5372" i="1"/>
  <c r="A5373" i="1"/>
  <c r="B5373" i="1"/>
  <c r="A5374" i="1"/>
  <c r="B5374" i="1"/>
  <c r="A5375" i="1"/>
  <c r="B5375" i="1"/>
  <c r="A5376" i="1"/>
  <c r="B5376" i="1"/>
  <c r="A5377" i="1"/>
  <c r="B5377" i="1"/>
  <c r="A5378" i="1"/>
  <c r="B5378" i="1"/>
  <c r="A5379" i="1"/>
  <c r="B5379" i="1"/>
  <c r="A5380" i="1"/>
  <c r="B5380" i="1"/>
  <c r="A5381" i="1"/>
  <c r="B5381" i="1"/>
  <c r="A5382" i="1"/>
  <c r="B5382" i="1"/>
  <c r="A5383" i="1"/>
  <c r="B5383" i="1"/>
  <c r="A5384" i="1"/>
  <c r="B5384" i="1"/>
  <c r="A5385" i="1"/>
  <c r="B5385" i="1"/>
  <c r="A5386" i="1"/>
  <c r="B5386" i="1"/>
  <c r="A5387" i="1"/>
  <c r="B5387" i="1"/>
  <c r="A5388" i="1"/>
  <c r="B5388" i="1"/>
  <c r="A5389" i="1"/>
  <c r="B5389" i="1"/>
  <c r="A5390" i="1"/>
  <c r="B5390" i="1"/>
  <c r="A5391" i="1"/>
  <c r="B5391" i="1"/>
  <c r="A5392" i="1"/>
  <c r="B5392" i="1"/>
  <c r="A5393" i="1"/>
  <c r="B5393" i="1"/>
  <c r="A5394" i="1"/>
  <c r="B5394" i="1"/>
  <c r="A5395" i="1"/>
  <c r="B5395" i="1"/>
  <c r="A5396" i="1"/>
  <c r="B5396" i="1"/>
  <c r="A5397" i="1"/>
  <c r="B5397" i="1"/>
  <c r="A5398" i="1"/>
  <c r="B5398" i="1"/>
  <c r="A5399" i="1"/>
  <c r="B5399" i="1"/>
  <c r="A5400" i="1"/>
  <c r="B5400" i="1"/>
  <c r="A5401" i="1"/>
  <c r="A5402" i="1"/>
  <c r="B5402" i="1"/>
  <c r="A5403" i="1"/>
  <c r="B5403" i="1"/>
  <c r="A5404" i="1"/>
  <c r="B5404" i="1"/>
  <c r="A5405" i="1"/>
  <c r="B5405" i="1"/>
  <c r="A5406" i="1"/>
  <c r="B5406" i="1"/>
  <c r="A5407" i="1"/>
  <c r="B5407" i="1"/>
  <c r="A5408" i="1"/>
  <c r="B5408" i="1"/>
  <c r="A5409" i="1"/>
  <c r="B5409" i="1"/>
  <c r="A5410" i="1"/>
  <c r="B5410" i="1"/>
  <c r="A5411" i="1"/>
  <c r="B5411" i="1"/>
  <c r="A5412" i="1"/>
  <c r="B5412" i="1"/>
  <c r="A5413" i="1"/>
  <c r="B5413" i="1"/>
  <c r="A5414" i="1"/>
  <c r="B5414" i="1"/>
  <c r="A5415" i="1"/>
  <c r="B5415" i="1"/>
  <c r="A5416" i="1"/>
  <c r="B5416" i="1"/>
  <c r="A5417" i="1"/>
  <c r="B5417" i="1"/>
  <c r="A5418" i="1"/>
  <c r="B5418" i="1"/>
  <c r="A5419" i="1"/>
  <c r="B5419" i="1"/>
  <c r="A5420" i="1"/>
  <c r="B5420" i="1"/>
  <c r="A5421" i="1"/>
  <c r="B5421" i="1"/>
  <c r="A5422" i="1"/>
  <c r="A5423" i="1"/>
  <c r="A5424" i="1"/>
  <c r="B5424" i="1"/>
  <c r="A5425" i="1"/>
  <c r="B5425" i="1"/>
  <c r="A5426" i="1"/>
  <c r="B5426" i="1"/>
  <c r="A5427" i="1"/>
  <c r="B5427" i="1"/>
  <c r="A5428" i="1"/>
  <c r="B5428" i="1"/>
  <c r="A5429" i="1"/>
  <c r="B5429" i="1"/>
  <c r="A5430" i="1"/>
  <c r="B5430" i="1"/>
  <c r="A5431" i="1"/>
  <c r="B5431" i="1"/>
  <c r="A5432" i="1"/>
  <c r="B5432" i="1"/>
  <c r="A5433" i="1"/>
  <c r="B5433" i="1"/>
  <c r="A5434" i="1"/>
  <c r="B5434" i="1"/>
  <c r="A5435" i="1"/>
  <c r="B5435" i="1"/>
  <c r="A5436" i="1"/>
  <c r="B5436" i="1"/>
  <c r="A5437" i="1"/>
  <c r="B5437" i="1"/>
  <c r="A5438" i="1"/>
  <c r="B5438" i="1"/>
  <c r="A5439" i="1"/>
  <c r="B5439" i="1"/>
  <c r="A5440" i="1"/>
  <c r="B5440" i="1"/>
  <c r="A5441" i="1"/>
  <c r="B5441" i="1"/>
  <c r="A5442" i="1"/>
  <c r="B5442" i="1"/>
  <c r="A5443" i="1"/>
  <c r="B5443" i="1"/>
  <c r="A5444" i="1"/>
  <c r="B5444" i="1"/>
  <c r="A5445" i="1"/>
  <c r="B5445" i="1"/>
  <c r="A5446" i="1"/>
  <c r="B5446" i="1"/>
  <c r="A5447" i="1"/>
  <c r="B5447" i="1"/>
  <c r="A5448" i="1"/>
  <c r="B5448" i="1"/>
  <c r="A5449" i="1"/>
  <c r="B5449" i="1"/>
  <c r="A5450" i="1"/>
  <c r="B5450" i="1"/>
  <c r="A5451" i="1"/>
  <c r="B5451" i="1"/>
  <c r="A5452" i="1"/>
  <c r="B5452" i="1"/>
  <c r="A5453" i="1"/>
  <c r="B5453" i="1"/>
  <c r="A5454" i="1"/>
  <c r="B5454" i="1"/>
  <c r="A5455" i="1"/>
  <c r="B5455" i="1"/>
  <c r="A5456" i="1"/>
  <c r="B5456" i="1"/>
  <c r="A5457" i="1"/>
  <c r="B5457" i="1"/>
  <c r="A5458" i="1"/>
  <c r="A5459" i="1"/>
  <c r="B5459" i="1"/>
  <c r="A5460" i="1"/>
  <c r="A5461" i="1"/>
  <c r="B5461" i="1"/>
  <c r="A5462" i="1"/>
  <c r="B5462" i="1"/>
  <c r="A5463" i="1"/>
  <c r="A5464" i="1"/>
  <c r="A5465" i="1"/>
  <c r="A5466" i="1"/>
  <c r="B5466" i="1"/>
  <c r="A5467" i="1"/>
  <c r="A5468" i="1"/>
  <c r="A5469" i="1"/>
  <c r="A5470" i="1"/>
  <c r="A5471" i="1"/>
  <c r="A5472" i="1"/>
  <c r="B5472" i="1"/>
  <c r="A5473" i="1"/>
  <c r="B5473" i="1"/>
  <c r="A5474" i="1"/>
  <c r="B5474" i="1"/>
  <c r="A5475" i="1"/>
  <c r="B5475" i="1"/>
  <c r="A5476" i="1"/>
  <c r="B5476" i="1"/>
  <c r="A5477" i="1"/>
  <c r="B5477" i="1"/>
  <c r="A5478" i="1"/>
  <c r="B5478" i="1"/>
  <c r="A5479" i="1"/>
  <c r="B5479" i="1"/>
  <c r="A5480" i="1"/>
  <c r="B5480" i="1"/>
  <c r="A5481" i="1"/>
  <c r="B5481" i="1"/>
  <c r="A5482" i="1"/>
  <c r="B5482" i="1"/>
  <c r="A5483" i="1"/>
  <c r="B5483" i="1"/>
  <c r="A5484" i="1"/>
  <c r="B5484" i="1"/>
  <c r="A5485" i="1"/>
  <c r="A5486" i="1"/>
  <c r="B5486" i="1"/>
  <c r="A5487" i="1"/>
  <c r="B5487" i="1"/>
  <c r="A5488" i="1"/>
  <c r="B5488" i="1"/>
  <c r="A5489" i="1"/>
  <c r="B5489" i="1"/>
  <c r="A5490" i="1"/>
  <c r="B5490" i="1"/>
  <c r="A5491" i="1"/>
  <c r="B5491" i="1"/>
  <c r="A5492" i="1"/>
  <c r="B5492" i="1"/>
  <c r="A5493" i="1"/>
  <c r="B5493" i="1"/>
  <c r="A5494" i="1"/>
  <c r="B5494" i="1"/>
  <c r="A5495" i="1"/>
  <c r="A5496" i="1"/>
  <c r="B5496" i="1"/>
  <c r="A5497" i="1"/>
  <c r="A5498" i="1"/>
  <c r="B5498" i="1"/>
  <c r="A5499" i="1"/>
  <c r="B5499" i="1"/>
  <c r="A5500" i="1"/>
  <c r="B5500" i="1"/>
  <c r="A5501" i="1"/>
  <c r="B5501" i="1"/>
  <c r="A5502" i="1"/>
  <c r="B5502" i="1"/>
  <c r="A5503" i="1"/>
  <c r="B5503" i="1"/>
  <c r="A5504" i="1"/>
  <c r="B5504" i="1"/>
  <c r="A5505" i="1"/>
  <c r="B5505" i="1"/>
  <c r="A5506" i="1"/>
  <c r="A5507" i="1"/>
  <c r="B5507" i="1"/>
  <c r="A5508" i="1"/>
  <c r="B5508" i="1"/>
  <c r="A5509" i="1"/>
  <c r="B5509" i="1"/>
  <c r="A5510" i="1"/>
  <c r="A5511" i="1"/>
  <c r="B5511" i="1"/>
  <c r="A5512" i="1"/>
  <c r="B5512" i="1"/>
  <c r="A5513" i="1"/>
  <c r="B5513" i="1"/>
  <c r="A5514" i="1"/>
  <c r="A5515" i="1"/>
  <c r="B5515" i="1"/>
  <c r="A5516" i="1"/>
  <c r="B5516" i="1"/>
  <c r="A5517" i="1"/>
  <c r="B5517" i="1"/>
  <c r="A5518" i="1"/>
  <c r="B5518" i="1"/>
  <c r="A5519" i="1"/>
  <c r="A5520" i="1"/>
  <c r="B5520" i="1"/>
  <c r="A5521" i="1"/>
  <c r="A5522" i="1"/>
  <c r="B5522" i="1"/>
  <c r="A5523" i="1"/>
  <c r="B5523" i="1"/>
  <c r="A5524" i="1"/>
  <c r="B5524" i="1"/>
  <c r="A5525" i="1"/>
  <c r="B5525" i="1"/>
  <c r="A5526" i="1"/>
  <c r="B5526" i="1"/>
  <c r="A5527" i="1"/>
  <c r="B5527" i="1"/>
  <c r="A5528" i="1"/>
  <c r="B5528" i="1"/>
  <c r="A5529" i="1"/>
  <c r="B5529" i="1"/>
  <c r="A5530" i="1"/>
  <c r="B5530" i="1"/>
  <c r="A5531" i="1"/>
  <c r="B5531" i="1"/>
  <c r="A5532" i="1"/>
  <c r="B5532" i="1"/>
  <c r="A5533" i="1"/>
  <c r="B5533" i="1"/>
  <c r="A5534" i="1"/>
  <c r="A5535" i="1"/>
  <c r="A5536" i="1"/>
  <c r="A5537" i="1"/>
  <c r="B5537" i="1"/>
  <c r="A5538" i="1"/>
  <c r="B5538" i="1"/>
  <c r="A5539" i="1"/>
  <c r="B5539" i="1"/>
  <c r="A5540" i="1"/>
  <c r="B5540" i="1"/>
  <c r="A5541" i="1"/>
  <c r="A5542" i="1"/>
  <c r="B5542" i="1"/>
  <c r="A5543" i="1"/>
  <c r="A5544" i="1"/>
  <c r="B5544" i="1"/>
  <c r="A5545" i="1"/>
  <c r="A5546" i="1"/>
  <c r="B5546" i="1"/>
  <c r="A5547" i="1"/>
  <c r="B5547" i="1"/>
  <c r="A5548" i="1"/>
  <c r="B5548" i="1"/>
  <c r="A5549" i="1"/>
  <c r="A5550" i="1"/>
  <c r="B5550" i="1"/>
  <c r="A5551" i="1"/>
  <c r="B5551" i="1"/>
  <c r="A5552" i="1"/>
  <c r="B5552" i="1"/>
  <c r="A5553" i="1"/>
  <c r="B5553" i="1"/>
  <c r="A5554" i="1"/>
  <c r="B5554" i="1"/>
  <c r="A5555" i="1"/>
  <c r="B5555" i="1"/>
  <c r="A5556" i="1"/>
  <c r="B5556" i="1"/>
  <c r="A5557" i="1"/>
  <c r="B5557" i="1"/>
  <c r="A5558" i="1"/>
  <c r="B5558" i="1"/>
  <c r="A5559" i="1"/>
  <c r="B5559" i="1"/>
  <c r="A5560" i="1"/>
  <c r="A5561" i="1"/>
  <c r="B5561" i="1"/>
  <c r="A5562" i="1"/>
  <c r="A5563" i="1"/>
  <c r="B5563" i="1"/>
  <c r="A5564" i="1"/>
  <c r="B5564" i="1"/>
  <c r="A5565" i="1"/>
  <c r="B5565" i="1"/>
  <c r="A5566" i="1"/>
  <c r="B5566" i="1"/>
  <c r="A5567" i="1"/>
  <c r="B5567" i="1"/>
  <c r="A5568" i="1"/>
  <c r="A5569" i="1"/>
  <c r="B5569" i="1"/>
  <c r="A5570" i="1"/>
  <c r="B5570" i="1"/>
  <c r="A5571" i="1"/>
  <c r="B5571" i="1"/>
  <c r="A5572" i="1"/>
  <c r="B5572" i="1"/>
  <c r="A5573" i="1"/>
  <c r="A5574" i="1"/>
  <c r="B5574" i="1"/>
  <c r="A5575" i="1"/>
  <c r="B5575" i="1"/>
  <c r="A5576" i="1"/>
  <c r="A5577" i="1"/>
  <c r="A5578" i="1"/>
  <c r="A5579" i="1"/>
  <c r="B5579" i="1"/>
  <c r="A5580" i="1"/>
  <c r="B5580" i="1"/>
  <c r="A5581" i="1"/>
  <c r="B5581" i="1"/>
  <c r="A5582" i="1"/>
  <c r="A5583" i="1"/>
  <c r="A5584" i="1"/>
  <c r="A5585" i="1"/>
  <c r="B5585" i="1"/>
  <c r="A5586" i="1"/>
  <c r="B5586" i="1"/>
  <c r="A5587" i="1"/>
  <c r="B5587" i="1"/>
  <c r="A5588" i="1"/>
  <c r="B5588" i="1"/>
  <c r="A5589" i="1"/>
  <c r="B5589" i="1"/>
  <c r="A5590" i="1"/>
  <c r="B5590" i="1"/>
  <c r="A5591" i="1"/>
  <c r="B5591" i="1"/>
  <c r="A5592" i="1"/>
  <c r="B5592" i="1"/>
  <c r="A5593" i="1"/>
  <c r="B5593" i="1"/>
  <c r="A5594" i="1"/>
  <c r="B5594" i="1"/>
  <c r="A5595" i="1"/>
  <c r="B5595" i="1"/>
  <c r="A5596" i="1"/>
  <c r="B5596" i="1"/>
  <c r="A5597" i="1"/>
  <c r="B5597" i="1"/>
  <c r="A5598" i="1"/>
  <c r="B5598" i="1"/>
  <c r="A5599" i="1"/>
  <c r="B5599" i="1"/>
  <c r="A5600" i="1"/>
  <c r="A5601" i="1"/>
  <c r="B5601" i="1"/>
  <c r="A5602" i="1"/>
  <c r="B5602" i="1"/>
  <c r="A5603" i="1"/>
  <c r="A5604" i="1"/>
  <c r="B5604" i="1"/>
  <c r="A5605" i="1"/>
  <c r="B5605" i="1"/>
  <c r="A5606" i="1"/>
  <c r="B5606" i="1"/>
  <c r="A5607" i="1"/>
  <c r="B5607" i="1"/>
  <c r="A5608" i="1"/>
  <c r="A5609" i="1"/>
  <c r="B5609" i="1"/>
  <c r="A5610" i="1"/>
  <c r="A5611" i="1"/>
  <c r="A5612" i="1"/>
  <c r="B5612" i="1"/>
  <c r="A5613" i="1"/>
  <c r="B5613" i="1"/>
  <c r="A5614" i="1"/>
  <c r="A5615" i="1"/>
  <c r="A5616" i="1"/>
  <c r="B5616" i="1"/>
  <c r="A5617" i="1"/>
  <c r="A5618" i="1"/>
  <c r="A5619" i="1"/>
  <c r="B5619" i="1"/>
  <c r="A5620" i="1"/>
  <c r="B5620" i="1"/>
  <c r="A5621" i="1"/>
  <c r="B5621" i="1"/>
  <c r="A5622" i="1"/>
  <c r="B5622" i="1"/>
  <c r="A5623" i="1"/>
  <c r="A5624" i="1"/>
  <c r="A5625" i="1"/>
  <c r="B5625" i="1"/>
  <c r="A5626" i="1"/>
  <c r="B5626" i="1"/>
  <c r="A5627" i="1"/>
  <c r="A5628" i="1"/>
  <c r="A5629" i="1"/>
  <c r="B5629" i="1"/>
  <c r="A5630" i="1"/>
  <c r="B5630" i="1"/>
  <c r="A5631" i="1"/>
  <c r="B5631" i="1"/>
  <c r="A5632" i="1"/>
  <c r="A5633" i="1"/>
  <c r="B5633" i="1"/>
  <c r="A5634" i="1"/>
  <c r="A5635" i="1"/>
  <c r="B5635" i="1"/>
  <c r="A5636" i="1"/>
  <c r="B5636" i="1"/>
  <c r="A5637" i="1"/>
  <c r="B5637" i="1"/>
  <c r="A5638" i="1"/>
  <c r="B5638" i="1"/>
  <c r="A5639" i="1"/>
  <c r="B5639" i="1"/>
  <c r="A5640" i="1"/>
  <c r="A5641" i="1"/>
  <c r="A5642" i="1"/>
  <c r="B5642" i="1"/>
  <c r="A5643" i="1"/>
  <c r="B5643" i="1"/>
  <c r="A5644" i="1"/>
  <c r="B5644" i="1"/>
  <c r="A5645" i="1"/>
  <c r="A5646" i="1"/>
  <c r="B5646" i="1"/>
  <c r="A5647" i="1"/>
  <c r="B5647" i="1"/>
  <c r="A5648" i="1"/>
  <c r="B5648" i="1"/>
  <c r="A5649" i="1"/>
  <c r="B5649" i="1"/>
  <c r="A5650" i="1"/>
  <c r="A5651" i="1"/>
  <c r="B5651" i="1"/>
  <c r="A5652" i="1"/>
  <c r="B5652" i="1"/>
  <c r="A5653" i="1"/>
  <c r="B5653" i="1"/>
  <c r="A5654" i="1"/>
  <c r="B5654" i="1"/>
  <c r="A5655" i="1"/>
  <c r="B5655" i="1"/>
  <c r="A5656" i="1"/>
  <c r="B5656" i="1"/>
  <c r="A5657" i="1"/>
  <c r="B5657" i="1"/>
  <c r="A5658" i="1"/>
  <c r="B5658" i="1"/>
  <c r="A5659" i="1"/>
  <c r="B5659" i="1"/>
  <c r="A5660" i="1"/>
  <c r="B5660" i="1"/>
  <c r="A5661" i="1"/>
  <c r="B5661" i="1"/>
  <c r="A5662" i="1"/>
  <c r="B5662" i="1"/>
  <c r="A5663" i="1"/>
  <c r="A5664" i="1"/>
  <c r="B5664" i="1"/>
  <c r="A5665" i="1"/>
  <c r="B5665" i="1"/>
  <c r="A5666" i="1"/>
  <c r="B5666" i="1"/>
  <c r="A5667" i="1"/>
  <c r="A5668" i="1"/>
  <c r="A5669" i="1"/>
  <c r="B5669" i="1"/>
  <c r="A5670" i="1"/>
  <c r="B5670" i="1"/>
  <c r="A5671" i="1"/>
  <c r="B5671" i="1"/>
  <c r="A5672" i="1"/>
  <c r="B5672" i="1"/>
  <c r="A5673" i="1"/>
  <c r="B5673" i="1"/>
  <c r="A5674" i="1"/>
  <c r="B5674" i="1"/>
  <c r="A5675" i="1"/>
  <c r="B5675" i="1"/>
  <c r="A5676" i="1"/>
  <c r="A5677" i="1"/>
  <c r="B5677" i="1"/>
  <c r="A5678" i="1"/>
  <c r="A5679" i="1"/>
  <c r="A5680" i="1"/>
  <c r="B5680" i="1"/>
  <c r="A5681" i="1"/>
  <c r="B5681" i="1"/>
  <c r="A5682" i="1"/>
  <c r="B5682" i="1"/>
  <c r="A5683" i="1"/>
  <c r="B5683" i="1"/>
  <c r="A5684" i="1"/>
  <c r="B5684" i="1"/>
  <c r="A5685" i="1"/>
  <c r="B5685" i="1"/>
  <c r="A5686" i="1"/>
  <c r="B5686" i="1"/>
  <c r="A5687" i="1"/>
  <c r="B5687" i="1"/>
  <c r="A5688" i="1"/>
  <c r="B5688" i="1"/>
  <c r="A5689" i="1"/>
  <c r="B5689" i="1"/>
  <c r="A5690" i="1"/>
  <c r="B5690" i="1"/>
  <c r="A5691" i="1"/>
  <c r="B5691" i="1"/>
  <c r="A5692" i="1"/>
  <c r="B5692" i="1"/>
  <c r="A5693" i="1"/>
  <c r="B5693" i="1"/>
  <c r="A5694" i="1"/>
  <c r="B5694" i="1"/>
  <c r="A5695" i="1"/>
  <c r="B5695" i="1"/>
  <c r="A5696" i="1"/>
  <c r="A5697" i="1"/>
  <c r="B5697" i="1"/>
  <c r="A5698" i="1"/>
  <c r="B5698" i="1"/>
  <c r="A5699" i="1"/>
  <c r="B5699" i="1"/>
  <c r="A5700" i="1"/>
  <c r="B5700" i="1"/>
  <c r="A5701" i="1"/>
  <c r="B5701" i="1"/>
  <c r="A5702" i="1"/>
  <c r="B5702" i="1"/>
  <c r="A5703" i="1"/>
  <c r="B5703" i="1"/>
  <c r="A5704" i="1"/>
  <c r="A5705" i="1"/>
  <c r="B5705" i="1"/>
  <c r="A5706" i="1"/>
  <c r="B5706" i="1"/>
  <c r="A5707" i="1"/>
  <c r="B5707" i="1"/>
  <c r="A5708" i="1"/>
  <c r="B5708" i="1"/>
  <c r="A5709" i="1"/>
  <c r="B5709" i="1"/>
  <c r="A5710" i="1"/>
  <c r="B5710" i="1"/>
  <c r="A5711" i="1"/>
  <c r="B5711" i="1"/>
  <c r="A5712" i="1"/>
  <c r="A5713" i="1"/>
  <c r="A5714" i="1"/>
  <c r="A5715" i="1"/>
  <c r="A5716" i="1"/>
  <c r="A5717" i="1"/>
  <c r="A5718" i="1"/>
  <c r="A5719" i="1"/>
  <c r="A5720" i="1"/>
  <c r="B5720" i="1"/>
  <c r="A5721" i="1"/>
  <c r="A5722" i="1"/>
  <c r="B5722" i="1"/>
  <c r="A5723" i="1"/>
  <c r="B5723" i="1"/>
  <c r="A5724" i="1"/>
  <c r="B5724" i="1"/>
  <c r="A5725" i="1"/>
  <c r="B5725" i="1"/>
  <c r="A5726" i="1"/>
  <c r="B5726" i="1"/>
  <c r="A5727" i="1"/>
  <c r="A5728" i="1"/>
  <c r="B5728" i="1"/>
  <c r="A5729" i="1"/>
  <c r="B5729" i="1"/>
  <c r="A5730" i="1"/>
  <c r="B5730" i="1"/>
  <c r="A5731" i="1"/>
  <c r="A5732" i="1"/>
  <c r="A5733" i="1"/>
  <c r="B5733" i="1"/>
  <c r="A5734" i="1"/>
  <c r="B5734" i="1"/>
  <c r="A5735" i="1"/>
  <c r="B5735" i="1"/>
  <c r="A5736" i="1"/>
  <c r="B5736" i="1"/>
  <c r="A5737" i="1"/>
  <c r="B5737" i="1"/>
  <c r="A5738" i="1"/>
  <c r="B5738" i="1"/>
  <c r="A5739" i="1"/>
  <c r="B5739" i="1"/>
  <c r="A5740" i="1"/>
  <c r="B5740" i="1"/>
  <c r="A5741" i="1"/>
  <c r="B5741" i="1"/>
  <c r="A5742" i="1"/>
  <c r="B5742" i="1"/>
  <c r="A5743" i="1"/>
  <c r="B5743" i="1"/>
  <c r="A5744" i="1"/>
  <c r="B5744" i="1"/>
  <c r="A5745" i="1"/>
  <c r="A5746" i="1"/>
  <c r="B5746" i="1"/>
  <c r="A5747" i="1"/>
  <c r="B5747" i="1"/>
  <c r="A5748" i="1"/>
  <c r="B5748" i="1"/>
  <c r="A5749" i="1"/>
  <c r="B5749" i="1"/>
  <c r="A5750" i="1"/>
  <c r="B5750" i="1"/>
  <c r="A5751" i="1"/>
  <c r="B5751" i="1"/>
  <c r="A5752" i="1"/>
  <c r="B5752" i="1"/>
  <c r="A5753" i="1"/>
  <c r="B5753" i="1"/>
  <c r="A5754" i="1"/>
  <c r="B5754" i="1"/>
  <c r="A5755" i="1"/>
  <c r="A5756" i="1"/>
  <c r="B5756" i="1"/>
  <c r="A5757" i="1"/>
  <c r="B5757" i="1"/>
  <c r="A5758" i="1"/>
  <c r="B5758" i="1"/>
  <c r="A5759" i="1"/>
  <c r="B5759" i="1"/>
  <c r="A5760" i="1"/>
  <c r="A5761" i="1"/>
  <c r="B5761" i="1"/>
  <c r="A5762" i="1"/>
  <c r="B5762" i="1"/>
  <c r="A5763" i="1"/>
  <c r="B5763" i="1"/>
  <c r="A5764" i="1"/>
  <c r="B5764" i="1"/>
  <c r="A5765" i="1"/>
  <c r="B5765" i="1"/>
  <c r="A5766" i="1"/>
  <c r="B5766" i="1"/>
  <c r="A5767" i="1"/>
  <c r="B5767" i="1"/>
  <c r="A5768" i="1"/>
  <c r="B5768" i="1"/>
  <c r="A5769" i="1"/>
  <c r="B5769" i="1"/>
  <c r="A5770" i="1"/>
  <c r="B5770" i="1"/>
  <c r="A5771" i="1"/>
  <c r="A5772" i="1"/>
  <c r="B5772" i="1"/>
  <c r="A5773" i="1"/>
  <c r="B5773" i="1"/>
  <c r="A5774" i="1"/>
  <c r="B5774" i="1"/>
  <c r="A5775" i="1"/>
  <c r="A5776" i="1"/>
  <c r="B5776" i="1"/>
  <c r="A5777" i="1"/>
  <c r="B5777" i="1"/>
  <c r="A5778" i="1"/>
  <c r="B5778" i="1"/>
  <c r="A5779" i="1"/>
  <c r="A5780" i="1"/>
  <c r="B5780" i="1"/>
  <c r="A5781" i="1"/>
  <c r="B5781" i="1"/>
  <c r="A5782" i="1"/>
  <c r="B5782" i="1"/>
  <c r="A5783" i="1"/>
  <c r="B5783" i="1"/>
  <c r="A5784" i="1"/>
  <c r="B5784" i="1"/>
  <c r="A5785" i="1"/>
  <c r="B5785" i="1"/>
  <c r="A5786" i="1"/>
  <c r="B5786" i="1"/>
  <c r="A5787" i="1"/>
  <c r="B5787" i="1"/>
  <c r="A5788" i="1"/>
  <c r="B5788" i="1"/>
  <c r="A5789" i="1"/>
  <c r="A5790" i="1"/>
  <c r="B5790" i="1"/>
  <c r="A5791" i="1"/>
  <c r="B5791" i="1"/>
  <c r="A5792" i="1"/>
  <c r="B5792" i="1"/>
  <c r="A5793" i="1"/>
  <c r="B5793" i="1"/>
  <c r="A5794" i="1"/>
  <c r="B5794" i="1"/>
  <c r="A5795" i="1"/>
  <c r="B5795" i="1"/>
  <c r="A5796" i="1"/>
  <c r="B5796" i="1"/>
  <c r="A5797" i="1"/>
  <c r="B5797" i="1"/>
  <c r="A5798" i="1"/>
  <c r="A5799" i="1"/>
  <c r="A5800" i="1"/>
  <c r="A5801" i="1"/>
  <c r="A5802" i="1"/>
  <c r="A5803" i="1"/>
  <c r="B5803" i="1"/>
  <c r="A5804" i="1"/>
  <c r="B5804" i="1"/>
  <c r="A5805" i="1"/>
  <c r="B5805" i="1"/>
  <c r="A5806" i="1"/>
  <c r="B5806" i="1"/>
  <c r="A5807" i="1"/>
  <c r="A5808" i="1"/>
  <c r="B5808" i="1"/>
  <c r="A5809" i="1"/>
  <c r="B5809" i="1"/>
  <c r="A5810" i="1"/>
  <c r="B5810" i="1"/>
  <c r="A5811" i="1"/>
  <c r="A5812" i="1"/>
  <c r="A5813" i="1"/>
  <c r="B5813" i="1"/>
  <c r="A5814" i="1"/>
  <c r="A5815" i="1"/>
  <c r="A5816" i="1"/>
  <c r="B5816" i="1"/>
  <c r="A5817" i="1"/>
  <c r="B5817" i="1"/>
  <c r="A5818" i="1"/>
  <c r="B5818" i="1"/>
  <c r="A5819" i="1"/>
  <c r="A5820" i="1"/>
  <c r="B5820" i="1"/>
  <c r="A5821" i="1"/>
  <c r="B5821" i="1"/>
  <c r="A5822" i="1"/>
  <c r="B5822" i="1"/>
  <c r="A5823" i="1"/>
  <c r="B5823" i="1"/>
  <c r="A5824" i="1"/>
  <c r="B5824" i="1"/>
  <c r="A5825" i="1"/>
  <c r="A5826" i="1"/>
  <c r="B5826" i="1"/>
  <c r="A5827" i="1"/>
  <c r="B5827" i="1"/>
  <c r="A5828" i="1"/>
  <c r="B5828" i="1"/>
  <c r="A5829" i="1"/>
  <c r="B5829" i="1"/>
  <c r="A5830" i="1"/>
  <c r="B5830" i="1"/>
  <c r="A5831" i="1"/>
  <c r="B5831" i="1"/>
  <c r="A5832" i="1"/>
  <c r="B5832" i="1"/>
  <c r="A5833" i="1"/>
  <c r="A5834" i="1"/>
  <c r="B5834" i="1"/>
  <c r="A5835" i="1"/>
  <c r="A5836" i="1"/>
  <c r="B5836" i="1"/>
  <c r="A5837" i="1"/>
  <c r="B5837" i="1"/>
  <c r="A5838" i="1"/>
  <c r="B5838" i="1"/>
  <c r="A5839" i="1"/>
  <c r="B5839" i="1"/>
  <c r="A5840" i="1"/>
  <c r="B5840" i="1"/>
  <c r="A5841" i="1"/>
  <c r="A5842" i="1"/>
  <c r="B5842" i="1"/>
  <c r="A5843" i="1"/>
  <c r="B5843" i="1"/>
  <c r="A5844" i="1"/>
  <c r="A5845" i="1"/>
  <c r="A5846" i="1"/>
  <c r="A5847" i="1"/>
  <c r="A5848" i="1"/>
  <c r="A5849" i="1"/>
  <c r="A5850" i="1"/>
  <c r="A5851" i="1"/>
  <c r="B5851" i="1"/>
  <c r="A5852" i="1"/>
  <c r="A5853" i="1"/>
  <c r="A5854" i="1"/>
  <c r="A5855" i="1"/>
  <c r="A5856" i="1"/>
  <c r="B5856" i="1"/>
  <c r="A5857" i="1"/>
  <c r="B5857" i="1"/>
  <c r="A5858" i="1"/>
  <c r="B5858" i="1"/>
  <c r="A5859" i="1"/>
  <c r="B5859" i="1"/>
  <c r="A5860" i="1"/>
  <c r="B5860" i="1"/>
  <c r="A5861" i="1"/>
  <c r="B5861" i="1"/>
  <c r="A5862" i="1"/>
  <c r="B5862" i="1"/>
  <c r="A5863" i="1"/>
  <c r="B5863" i="1"/>
  <c r="A5864" i="1"/>
  <c r="B5864" i="1"/>
  <c r="A5865" i="1"/>
  <c r="B5865" i="1"/>
  <c r="A5866" i="1"/>
  <c r="B5866" i="1"/>
  <c r="A5867" i="1"/>
  <c r="B5867" i="1"/>
  <c r="A5868" i="1"/>
  <c r="B5868" i="1"/>
  <c r="A5869" i="1"/>
  <c r="B5869" i="1"/>
  <c r="A5870" i="1"/>
  <c r="B5870" i="1"/>
  <c r="A5871" i="1"/>
  <c r="B5871" i="1"/>
  <c r="A5872" i="1"/>
  <c r="B5872" i="1"/>
  <c r="A5873" i="1"/>
  <c r="A5874" i="1"/>
  <c r="A5875" i="1"/>
  <c r="B5875" i="1"/>
  <c r="A5876" i="1"/>
  <c r="A5877" i="1"/>
  <c r="B5877" i="1"/>
  <c r="A5878" i="1"/>
  <c r="B5878" i="1"/>
  <c r="A5879" i="1"/>
  <c r="A5880" i="1"/>
  <c r="B5880" i="1"/>
  <c r="A5881" i="1"/>
  <c r="A5882" i="1"/>
  <c r="B5882" i="1"/>
  <c r="A5883" i="1"/>
  <c r="B5883" i="1"/>
  <c r="A5884" i="1"/>
  <c r="A5885" i="1"/>
  <c r="A5886" i="1"/>
  <c r="B5886" i="1"/>
  <c r="A5887" i="1"/>
  <c r="B5887" i="1"/>
  <c r="A5888" i="1"/>
  <c r="B5888" i="1"/>
  <c r="A5889" i="1"/>
  <c r="A5890" i="1"/>
  <c r="A5891" i="1"/>
  <c r="A5892" i="1"/>
  <c r="B5892" i="1"/>
  <c r="A5893" i="1"/>
  <c r="B5893" i="1"/>
  <c r="A5894" i="1"/>
  <c r="A5895" i="1"/>
  <c r="A5896" i="1"/>
  <c r="B5896" i="1"/>
  <c r="A5897" i="1"/>
  <c r="B5897" i="1"/>
  <c r="A5898" i="1"/>
  <c r="B5898" i="1"/>
  <c r="A5899" i="1"/>
  <c r="B5899" i="1"/>
  <c r="A5900" i="1"/>
  <c r="A5901" i="1"/>
  <c r="B5901" i="1"/>
  <c r="A5902" i="1"/>
  <c r="B5902" i="1"/>
  <c r="A5903" i="1"/>
  <c r="B5903" i="1"/>
  <c r="A5904" i="1"/>
  <c r="B5904" i="1"/>
  <c r="A5905" i="1"/>
  <c r="B5905" i="1"/>
  <c r="A5906" i="1"/>
  <c r="A5907" i="1"/>
  <c r="B5907" i="1"/>
  <c r="A5908" i="1"/>
  <c r="B5908" i="1"/>
  <c r="A5909" i="1"/>
  <c r="B5909" i="1"/>
  <c r="A5910" i="1"/>
  <c r="B5910" i="1"/>
  <c r="A5911" i="1"/>
  <c r="B5911" i="1"/>
  <c r="A5912" i="1"/>
  <c r="B5912" i="1"/>
  <c r="A5913" i="1"/>
  <c r="B5913" i="1"/>
  <c r="A5914" i="1"/>
  <c r="B5914" i="1"/>
  <c r="A5915" i="1"/>
  <c r="B5915" i="1"/>
  <c r="A5916" i="1"/>
  <c r="B5916" i="1"/>
  <c r="A5917" i="1"/>
  <c r="B5917" i="1"/>
  <c r="A5918" i="1"/>
  <c r="A5919" i="1"/>
  <c r="B5919" i="1"/>
  <c r="A5920" i="1"/>
  <c r="B5920" i="1"/>
  <c r="A5921" i="1"/>
  <c r="B5921" i="1"/>
  <c r="A5922" i="1"/>
  <c r="A5923" i="1"/>
  <c r="B5923" i="1"/>
  <c r="A5924" i="1"/>
  <c r="B5924" i="1"/>
  <c r="A5925" i="1"/>
  <c r="B5925" i="1"/>
  <c r="A5926" i="1"/>
  <c r="A5927" i="1"/>
  <c r="B5927" i="1"/>
  <c r="A5928" i="1"/>
  <c r="B5928" i="1"/>
  <c r="A5929" i="1"/>
  <c r="B5929" i="1"/>
  <c r="A5930" i="1"/>
  <c r="B5930" i="1"/>
  <c r="A5931" i="1"/>
  <c r="B5931" i="1"/>
  <c r="A5932" i="1"/>
  <c r="B5932" i="1"/>
  <c r="A5933" i="1"/>
  <c r="B5933" i="1"/>
  <c r="A5934" i="1"/>
  <c r="B5934" i="1"/>
  <c r="A5935" i="1"/>
  <c r="A5936" i="1"/>
  <c r="B5936" i="1"/>
  <c r="A5937" i="1"/>
  <c r="B5937" i="1"/>
  <c r="A5938" i="1"/>
  <c r="B5938" i="1"/>
  <c r="A5939" i="1"/>
  <c r="B5939" i="1"/>
  <c r="A5940" i="1"/>
  <c r="B5940" i="1"/>
  <c r="A5941" i="1"/>
  <c r="A5942" i="1"/>
  <c r="A5943" i="1"/>
  <c r="A5944" i="1"/>
  <c r="A5945" i="1"/>
  <c r="A5946" i="1"/>
  <c r="B5946" i="1"/>
  <c r="A5947" i="1"/>
  <c r="B5947" i="1"/>
  <c r="A5948" i="1"/>
  <c r="B5948" i="1"/>
  <c r="A5949" i="1"/>
  <c r="B5949" i="1"/>
  <c r="A5950" i="1"/>
  <c r="A5951" i="1"/>
  <c r="B5951" i="1"/>
  <c r="A5952" i="1"/>
  <c r="B5952" i="1"/>
  <c r="A5953" i="1"/>
  <c r="B5953" i="1"/>
  <c r="A5954" i="1"/>
  <c r="B5954" i="1"/>
  <c r="A5955" i="1"/>
  <c r="B5955" i="1"/>
  <c r="A5956" i="1"/>
  <c r="B5956" i="1"/>
  <c r="A5957" i="1"/>
  <c r="B5957" i="1"/>
  <c r="A5958" i="1"/>
  <c r="B5958" i="1"/>
  <c r="A5959" i="1"/>
  <c r="A5960" i="1"/>
  <c r="B5960" i="1"/>
  <c r="A5961" i="1"/>
  <c r="B5961" i="1"/>
  <c r="A5962" i="1"/>
  <c r="B5962" i="1"/>
  <c r="A5963" i="1"/>
  <c r="B5963" i="1"/>
  <c r="A5964" i="1"/>
  <c r="B5964" i="1"/>
  <c r="A5965" i="1"/>
  <c r="B5965" i="1"/>
  <c r="A5966" i="1"/>
  <c r="A5967" i="1"/>
  <c r="B5967" i="1"/>
  <c r="A5968" i="1"/>
  <c r="B5968" i="1"/>
  <c r="A5969" i="1"/>
  <c r="A5970" i="1"/>
  <c r="B5970" i="1"/>
  <c r="A5971" i="1"/>
  <c r="B5971" i="1"/>
  <c r="A5972" i="1"/>
  <c r="B5972" i="1"/>
  <c r="A5973" i="1"/>
  <c r="B5973" i="1"/>
  <c r="A5974" i="1"/>
  <c r="B5974" i="1"/>
  <c r="A5975" i="1"/>
  <c r="B5975" i="1"/>
  <c r="A5976" i="1"/>
  <c r="A5977" i="1"/>
  <c r="B5977" i="1"/>
  <c r="A5978" i="1"/>
  <c r="B5978" i="1"/>
  <c r="A5979" i="1"/>
  <c r="B5979" i="1"/>
  <c r="A5980" i="1"/>
  <c r="B5980" i="1"/>
  <c r="A5981" i="1"/>
  <c r="B5981" i="1"/>
  <c r="A5982" i="1"/>
  <c r="B5982" i="1"/>
  <c r="A5983" i="1"/>
  <c r="B5983" i="1"/>
  <c r="A5984" i="1"/>
  <c r="B5984" i="1"/>
  <c r="A5985" i="1"/>
  <c r="A5986" i="1"/>
  <c r="B5986" i="1"/>
  <c r="A5987" i="1"/>
  <c r="A5988" i="1"/>
  <c r="B5988" i="1"/>
  <c r="A5989" i="1"/>
  <c r="B5989" i="1"/>
  <c r="A5990" i="1"/>
  <c r="B5990" i="1"/>
  <c r="A5991" i="1"/>
  <c r="A5992" i="1"/>
  <c r="B5992" i="1"/>
  <c r="A5993" i="1"/>
  <c r="B5993" i="1"/>
  <c r="A5994" i="1"/>
  <c r="A5995" i="1"/>
  <c r="B5995" i="1"/>
  <c r="A5996" i="1"/>
  <c r="B5996" i="1"/>
  <c r="A5997" i="1"/>
  <c r="B5997" i="1"/>
  <c r="A5998" i="1"/>
  <c r="B5998" i="1"/>
  <c r="A5999" i="1"/>
  <c r="B5999" i="1"/>
  <c r="A6000" i="1"/>
  <c r="B6000" i="1"/>
  <c r="A6001" i="1"/>
  <c r="B6001" i="1"/>
  <c r="A6002" i="1"/>
  <c r="B6002" i="1"/>
  <c r="A6003" i="1"/>
  <c r="B6003" i="1"/>
  <c r="A6004" i="1"/>
  <c r="A6005" i="1"/>
  <c r="B6005" i="1"/>
  <c r="A6006" i="1"/>
  <c r="B6006" i="1"/>
  <c r="A6007" i="1"/>
  <c r="B6007" i="1"/>
  <c r="A6008" i="1"/>
  <c r="B6008" i="1"/>
  <c r="A6009" i="1"/>
  <c r="B6009" i="1"/>
  <c r="A6010" i="1"/>
  <c r="A6011" i="1"/>
  <c r="B6011" i="1"/>
  <c r="A6012" i="1"/>
  <c r="A6013" i="1"/>
  <c r="B6013" i="1"/>
  <c r="A6014" i="1"/>
  <c r="B6014" i="1"/>
  <c r="A6015" i="1"/>
  <c r="A6016" i="1"/>
  <c r="B6016" i="1"/>
  <c r="A6017" i="1"/>
  <c r="B6017" i="1"/>
  <c r="A6018" i="1"/>
  <c r="A6019" i="1"/>
  <c r="B6019" i="1"/>
  <c r="A6020" i="1"/>
  <c r="B6020" i="1"/>
  <c r="A6021" i="1"/>
  <c r="B6021" i="1"/>
  <c r="A6022" i="1"/>
  <c r="B6022" i="1"/>
  <c r="A6023" i="1"/>
  <c r="B6023" i="1"/>
  <c r="A6024" i="1"/>
  <c r="B6024" i="1"/>
  <c r="A6025" i="1"/>
  <c r="B6025" i="1"/>
  <c r="A6026" i="1"/>
  <c r="B6026" i="1"/>
  <c r="A6027" i="1"/>
  <c r="A6028" i="1"/>
  <c r="B6028" i="1"/>
  <c r="A6029" i="1"/>
  <c r="B6029" i="1"/>
  <c r="A6030" i="1"/>
  <c r="B6030" i="1"/>
  <c r="A6031" i="1"/>
  <c r="A6032" i="1"/>
  <c r="B6032" i="1"/>
  <c r="A6033" i="1"/>
  <c r="B6033" i="1"/>
  <c r="A6034" i="1"/>
  <c r="A6035" i="1"/>
  <c r="B6035" i="1"/>
  <c r="A6036" i="1"/>
  <c r="A6037" i="1"/>
  <c r="A6038" i="1"/>
  <c r="A6039" i="1"/>
  <c r="B6039" i="1"/>
  <c r="A6040" i="1"/>
  <c r="A6041" i="1"/>
  <c r="B6041" i="1"/>
  <c r="A6042" i="1"/>
  <c r="B6042" i="1"/>
  <c r="A6043" i="1"/>
  <c r="B6043" i="1"/>
  <c r="A6044" i="1"/>
  <c r="B6044" i="1"/>
  <c r="A6045" i="1"/>
  <c r="B6045" i="1"/>
  <c r="A6046" i="1"/>
  <c r="A6047" i="1"/>
  <c r="B6047" i="1"/>
  <c r="A6048" i="1"/>
  <c r="A6049" i="1"/>
  <c r="B6049" i="1"/>
  <c r="A6050" i="1"/>
  <c r="B6050" i="1"/>
  <c r="A6051" i="1"/>
  <c r="B6051" i="1"/>
  <c r="A6052" i="1"/>
  <c r="B6052" i="1"/>
  <c r="A6053" i="1"/>
  <c r="B6053" i="1"/>
  <c r="A6054" i="1"/>
  <c r="B6054" i="1"/>
  <c r="A6055" i="1"/>
  <c r="B6055" i="1"/>
  <c r="A6056" i="1"/>
  <c r="A6057" i="1"/>
  <c r="A6058" i="1"/>
  <c r="B6058" i="1"/>
  <c r="A6059" i="1"/>
  <c r="A6060" i="1"/>
  <c r="B6060" i="1"/>
  <c r="A6061" i="1"/>
  <c r="B6061" i="1"/>
  <c r="A6062" i="1"/>
  <c r="B6062" i="1"/>
  <c r="A6063" i="1"/>
  <c r="B6063" i="1"/>
  <c r="A6064" i="1"/>
  <c r="B6064" i="1"/>
  <c r="A6065" i="1"/>
  <c r="B6065" i="1"/>
  <c r="A6066" i="1"/>
  <c r="B6066" i="1"/>
  <c r="A6067" i="1"/>
  <c r="B6067" i="1"/>
  <c r="A6068" i="1"/>
  <c r="B6068" i="1"/>
  <c r="A6069" i="1"/>
  <c r="B6069" i="1"/>
  <c r="A6070" i="1"/>
  <c r="B6070" i="1"/>
  <c r="A6071" i="1"/>
  <c r="B6071" i="1"/>
  <c r="A6072" i="1"/>
  <c r="B6072" i="1"/>
  <c r="A6073" i="1"/>
  <c r="B6073" i="1"/>
  <c r="A6074" i="1"/>
  <c r="B6074" i="1"/>
  <c r="A6075" i="1"/>
  <c r="B6075" i="1"/>
  <c r="A6076" i="1"/>
  <c r="B6076" i="1"/>
  <c r="A6077" i="1"/>
  <c r="B6077" i="1"/>
  <c r="A6078" i="1"/>
  <c r="B6078" i="1"/>
  <c r="A6079" i="1"/>
  <c r="B6079" i="1"/>
  <c r="A6080" i="1"/>
  <c r="A6081" i="1"/>
  <c r="A6082" i="1"/>
  <c r="B6082" i="1"/>
  <c r="A6083" i="1"/>
  <c r="B6083" i="1"/>
  <c r="A6084" i="1"/>
  <c r="A6085" i="1"/>
  <c r="B6085" i="1"/>
  <c r="A6086" i="1"/>
  <c r="B6086" i="1"/>
  <c r="A6087" i="1"/>
  <c r="B6087" i="1"/>
  <c r="A6088" i="1"/>
  <c r="B6088" i="1"/>
  <c r="A6089" i="1"/>
  <c r="B6089" i="1"/>
  <c r="A6090" i="1"/>
  <c r="B6090" i="1"/>
  <c r="A6091" i="1"/>
  <c r="B6091" i="1"/>
  <c r="A6092" i="1"/>
  <c r="B6092" i="1"/>
  <c r="A6093" i="1"/>
  <c r="B6093" i="1"/>
  <c r="A6094" i="1"/>
  <c r="B6094" i="1"/>
  <c r="A6095" i="1"/>
  <c r="B6095" i="1"/>
  <c r="A6096" i="1"/>
  <c r="B6096" i="1"/>
  <c r="A6097" i="1"/>
  <c r="B6097" i="1"/>
  <c r="A6098" i="1"/>
  <c r="A6099" i="1"/>
  <c r="B6099" i="1"/>
  <c r="A6100" i="1"/>
  <c r="A6101" i="1"/>
  <c r="B6101" i="1"/>
  <c r="A6102" i="1"/>
  <c r="B6102" i="1"/>
  <c r="A6103" i="1"/>
  <c r="B6103" i="1"/>
  <c r="A6104" i="1"/>
  <c r="B6104" i="1"/>
  <c r="A6105" i="1"/>
  <c r="B6105" i="1"/>
  <c r="A6106" i="1"/>
  <c r="A6107" i="1"/>
  <c r="A6108" i="1"/>
  <c r="B6108" i="1"/>
  <c r="A6109" i="1"/>
  <c r="B6109" i="1"/>
  <c r="A6110" i="1"/>
  <c r="A6111" i="1"/>
  <c r="A6112" i="1"/>
  <c r="B6112" i="1"/>
  <c r="A6113" i="1"/>
  <c r="B6113" i="1"/>
  <c r="A6114" i="1"/>
  <c r="B6114" i="1"/>
  <c r="A6115" i="1"/>
  <c r="B6115" i="1"/>
  <c r="A6116" i="1"/>
  <c r="B6116" i="1"/>
  <c r="A6117" i="1"/>
  <c r="A6118" i="1"/>
  <c r="B6118" i="1"/>
  <c r="A6119" i="1"/>
  <c r="B6119" i="1"/>
  <c r="A6120" i="1"/>
  <c r="B6120" i="1"/>
  <c r="A6121" i="1"/>
  <c r="A6122" i="1"/>
  <c r="A6123" i="1"/>
  <c r="A6124" i="1"/>
  <c r="A6125" i="1"/>
  <c r="B6125" i="1"/>
  <c r="A6126" i="1"/>
  <c r="B6126" i="1"/>
  <c r="A6127" i="1"/>
  <c r="B6127" i="1"/>
  <c r="A6128" i="1"/>
  <c r="B6128" i="1"/>
  <c r="A6129" i="1"/>
  <c r="B6129" i="1"/>
  <c r="A6130" i="1"/>
  <c r="B6130" i="1"/>
  <c r="A6131" i="1"/>
  <c r="A6132" i="1"/>
  <c r="B6132" i="1"/>
  <c r="A6133" i="1"/>
  <c r="B6133" i="1"/>
  <c r="A6134" i="1"/>
  <c r="B6134" i="1"/>
  <c r="A6135" i="1"/>
  <c r="B6135" i="1"/>
  <c r="A6136" i="1"/>
  <c r="B6136" i="1"/>
  <c r="A6137" i="1"/>
  <c r="B6137" i="1"/>
  <c r="A6138" i="1"/>
  <c r="B6138" i="1"/>
  <c r="A6139" i="1"/>
  <c r="B6139" i="1"/>
  <c r="A6140" i="1"/>
  <c r="A6141" i="1"/>
  <c r="A6142" i="1"/>
  <c r="A6143" i="1"/>
  <c r="B6143" i="1"/>
  <c r="A6144" i="1"/>
  <c r="B6144" i="1"/>
  <c r="A6145" i="1"/>
  <c r="A6146" i="1"/>
  <c r="B6146" i="1"/>
  <c r="A6147" i="1"/>
  <c r="A6148" i="1"/>
  <c r="B6148" i="1"/>
  <c r="A6149" i="1"/>
  <c r="B6149" i="1"/>
  <c r="A6150" i="1"/>
  <c r="B6150" i="1"/>
  <c r="A6151" i="1"/>
  <c r="A6152" i="1"/>
  <c r="B6152" i="1"/>
  <c r="A6153" i="1"/>
  <c r="B6153" i="1"/>
  <c r="A6154" i="1"/>
  <c r="A6155" i="1"/>
  <c r="B6155" i="1"/>
  <c r="A6156" i="1"/>
  <c r="B6156" i="1"/>
  <c r="A6157" i="1"/>
  <c r="B6157" i="1"/>
  <c r="A6158" i="1"/>
  <c r="B6158" i="1"/>
  <c r="A6159" i="1"/>
  <c r="B6159" i="1"/>
  <c r="A6160" i="1"/>
  <c r="B6160" i="1"/>
  <c r="A6161" i="1"/>
  <c r="B6161" i="1"/>
  <c r="A6162" i="1"/>
  <c r="A6163" i="1"/>
  <c r="B6163" i="1"/>
  <c r="A6164" i="1"/>
  <c r="B6164" i="1"/>
  <c r="A6165" i="1"/>
  <c r="B6165" i="1"/>
  <c r="A6166" i="1"/>
  <c r="B6166" i="1"/>
  <c r="A6167" i="1"/>
  <c r="B6167" i="1"/>
  <c r="A6168" i="1"/>
  <c r="B6168" i="1"/>
  <c r="A6169" i="1"/>
  <c r="B6169" i="1"/>
  <c r="A6170" i="1"/>
  <c r="A6171" i="1"/>
  <c r="B6171" i="1"/>
  <c r="A6172" i="1"/>
  <c r="B6172" i="1"/>
  <c r="A6173" i="1"/>
  <c r="B6173" i="1"/>
  <c r="A6174" i="1"/>
  <c r="B6174" i="1"/>
  <c r="A6175" i="1"/>
  <c r="B6175" i="1"/>
  <c r="A6176" i="1"/>
  <c r="B6176" i="1"/>
  <c r="A6177" i="1"/>
  <c r="A6178" i="1"/>
  <c r="B6178" i="1"/>
  <c r="A6179" i="1"/>
  <c r="A6180" i="1"/>
  <c r="B6180" i="1"/>
  <c r="A6181" i="1"/>
  <c r="B6181" i="1"/>
  <c r="A6182" i="1"/>
  <c r="B6182" i="1"/>
  <c r="A6183" i="1"/>
  <c r="A6184" i="1"/>
  <c r="A6185" i="1"/>
  <c r="B6185" i="1"/>
  <c r="A6186" i="1"/>
  <c r="B6186" i="1"/>
  <c r="A6187" i="1"/>
  <c r="A6188" i="1"/>
  <c r="B6188" i="1"/>
  <c r="A6189" i="1"/>
  <c r="B6189" i="1"/>
  <c r="A6190" i="1"/>
  <c r="B6190" i="1"/>
  <c r="A6191" i="1"/>
  <c r="B6191" i="1"/>
  <c r="A6192" i="1"/>
  <c r="B6192" i="1"/>
  <c r="A6193" i="1"/>
  <c r="A6194" i="1"/>
  <c r="B6194" i="1"/>
  <c r="A6195" i="1"/>
  <c r="B6195" i="1"/>
  <c r="A6196" i="1"/>
  <c r="B6196" i="1"/>
  <c r="A6197" i="1"/>
  <c r="B6197" i="1"/>
  <c r="A6198" i="1"/>
  <c r="B6198" i="1"/>
  <c r="A6199" i="1"/>
  <c r="B6199" i="1"/>
  <c r="A6200" i="1"/>
  <c r="B6200" i="1"/>
  <c r="A6201" i="1"/>
  <c r="A6202" i="1"/>
  <c r="B6202" i="1"/>
  <c r="A6203" i="1"/>
  <c r="A6204" i="1"/>
  <c r="A6205" i="1"/>
  <c r="B6205" i="1"/>
  <c r="A6206" i="1"/>
  <c r="B6206" i="1"/>
  <c r="A6207" i="1"/>
  <c r="B6207" i="1"/>
  <c r="A6208" i="1"/>
  <c r="B6208" i="1"/>
  <c r="A6209" i="1"/>
  <c r="A6210" i="1"/>
  <c r="B6210" i="1"/>
  <c r="A6211" i="1"/>
  <c r="A6212" i="1"/>
  <c r="A6213" i="1"/>
  <c r="B6213" i="1"/>
  <c r="A6214" i="1"/>
  <c r="B6214" i="1"/>
  <c r="A6215" i="1"/>
  <c r="B6215" i="1"/>
  <c r="A6216" i="1"/>
  <c r="B6216" i="1"/>
  <c r="A6217" i="1"/>
  <c r="B6217" i="1"/>
  <c r="A6218" i="1"/>
  <c r="B6218" i="1"/>
  <c r="A6219" i="1"/>
  <c r="B6219" i="1"/>
  <c r="A6220" i="1"/>
  <c r="B6220" i="1"/>
  <c r="A6221" i="1"/>
  <c r="B6221" i="1"/>
  <c r="A6222" i="1"/>
  <c r="B6222" i="1"/>
  <c r="A6223" i="1"/>
  <c r="A6224" i="1"/>
  <c r="B6224" i="1"/>
  <c r="A6225" i="1"/>
  <c r="B6225" i="1"/>
  <c r="A6226" i="1"/>
  <c r="B6226" i="1"/>
  <c r="A6227" i="1"/>
  <c r="A6228" i="1"/>
  <c r="B6228" i="1"/>
  <c r="A6229" i="1"/>
  <c r="A6230" i="1"/>
  <c r="B6230" i="1"/>
  <c r="A6231" i="1"/>
  <c r="B6231" i="1"/>
  <c r="A6232" i="1"/>
  <c r="B6232" i="1"/>
  <c r="A6233" i="1"/>
  <c r="B6233" i="1"/>
  <c r="A6234" i="1"/>
  <c r="B6234" i="1"/>
  <c r="A6235" i="1"/>
  <c r="B6235" i="1"/>
  <c r="A6236" i="1"/>
  <c r="B6236" i="1"/>
  <c r="A6237" i="1"/>
  <c r="B6237" i="1"/>
  <c r="A6238" i="1"/>
  <c r="B6238" i="1"/>
  <c r="A6239" i="1"/>
  <c r="B6239" i="1"/>
  <c r="A6240" i="1"/>
  <c r="B6240" i="1"/>
  <c r="A6241" i="1"/>
  <c r="B6241" i="1"/>
  <c r="A6242" i="1"/>
  <c r="B6242" i="1"/>
  <c r="A6243" i="1"/>
  <c r="A6244" i="1"/>
  <c r="A6245" i="1"/>
  <c r="B6245" i="1"/>
  <c r="A6246" i="1"/>
  <c r="B6246" i="1"/>
  <c r="A6247" i="1"/>
  <c r="B6247" i="1"/>
  <c r="A6248" i="1"/>
  <c r="B6248" i="1"/>
  <c r="A6249" i="1"/>
  <c r="B6249" i="1"/>
  <c r="A6250" i="1"/>
  <c r="A6251" i="1"/>
  <c r="A6252" i="1"/>
  <c r="A6253" i="1"/>
  <c r="A6254" i="1"/>
  <c r="A6255" i="1"/>
  <c r="A6256" i="1"/>
  <c r="B6256" i="1"/>
  <c r="A6257" i="1"/>
  <c r="B6257" i="1"/>
  <c r="A6258" i="1"/>
  <c r="B6258" i="1"/>
  <c r="A6259" i="1"/>
  <c r="A6260" i="1"/>
  <c r="B6260" i="1"/>
  <c r="A6261" i="1"/>
  <c r="B6261" i="1"/>
  <c r="A6262" i="1"/>
  <c r="A6263" i="1"/>
  <c r="B6263" i="1"/>
  <c r="A6264" i="1"/>
  <c r="B6264" i="1"/>
  <c r="A6265" i="1"/>
  <c r="B6265" i="1"/>
  <c r="A6266" i="1"/>
  <c r="A6267" i="1"/>
  <c r="B6267" i="1"/>
  <c r="A6268" i="1"/>
  <c r="B6268" i="1"/>
  <c r="A6269" i="1"/>
  <c r="A6270" i="1"/>
  <c r="B6270" i="1"/>
  <c r="A6271" i="1"/>
  <c r="B6271" i="1"/>
  <c r="A6272" i="1"/>
  <c r="B6272" i="1"/>
  <c r="A6273" i="1"/>
  <c r="A6274" i="1"/>
  <c r="B6274" i="1"/>
  <c r="A6275" i="1"/>
  <c r="B6275" i="1"/>
  <c r="A6276" i="1"/>
  <c r="B6276" i="1"/>
  <c r="A6277" i="1"/>
  <c r="A6278" i="1"/>
  <c r="B6278" i="1"/>
  <c r="A6279" i="1"/>
  <c r="B6279" i="1"/>
  <c r="A6280" i="1"/>
  <c r="A6281" i="1"/>
  <c r="A6282" i="1"/>
  <c r="A6283" i="1"/>
  <c r="A6284" i="1"/>
  <c r="B6284" i="1"/>
  <c r="A6285" i="1"/>
  <c r="B6285" i="1"/>
  <c r="A6286" i="1"/>
  <c r="B6286" i="1"/>
  <c r="A6287" i="1"/>
  <c r="B6287" i="1"/>
  <c r="A6288" i="1"/>
  <c r="B6288" i="1"/>
  <c r="A6289" i="1"/>
  <c r="B6289" i="1"/>
  <c r="A6290" i="1"/>
  <c r="B6290" i="1"/>
  <c r="A6291" i="1"/>
  <c r="B6291" i="1"/>
  <c r="A6292" i="1"/>
  <c r="B6292" i="1"/>
  <c r="A6293" i="1"/>
  <c r="B6293" i="1"/>
  <c r="A6294" i="1"/>
  <c r="B6294" i="1"/>
  <c r="A6295" i="1"/>
  <c r="B6295" i="1"/>
  <c r="A6296" i="1"/>
  <c r="B6296" i="1"/>
  <c r="A6297" i="1"/>
  <c r="B6297" i="1"/>
  <c r="A6298" i="1"/>
  <c r="B6298" i="1"/>
  <c r="A6299" i="1"/>
  <c r="B6299" i="1"/>
  <c r="A6300" i="1"/>
  <c r="B6300" i="1"/>
  <c r="A6301" i="1"/>
  <c r="A6302" i="1"/>
  <c r="A6303" i="1"/>
  <c r="B6303" i="1"/>
  <c r="A6304" i="1"/>
  <c r="B6304" i="1"/>
  <c r="A6305" i="1"/>
  <c r="B6305" i="1"/>
  <c r="A6306" i="1"/>
  <c r="B6306" i="1"/>
  <c r="A6307" i="1"/>
  <c r="B6307" i="1"/>
  <c r="A6308" i="1"/>
  <c r="B6308" i="1"/>
  <c r="A6309" i="1"/>
  <c r="A6310" i="1"/>
  <c r="B6310" i="1"/>
  <c r="A6311" i="1"/>
  <c r="B6311" i="1"/>
  <c r="A6312" i="1"/>
  <c r="A6313" i="1"/>
  <c r="B6313" i="1"/>
  <c r="A6314" i="1"/>
  <c r="B6314" i="1"/>
  <c r="A6315" i="1"/>
  <c r="B6315" i="1"/>
  <c r="A6316" i="1"/>
  <c r="A6317" i="1"/>
  <c r="A6318" i="1"/>
  <c r="A6319" i="1"/>
  <c r="A6320" i="1"/>
  <c r="A6321" i="1"/>
  <c r="A6322" i="1"/>
  <c r="A6323" i="1"/>
  <c r="B6323" i="1"/>
  <c r="A6324" i="1"/>
  <c r="B6324" i="1"/>
  <c r="A6325" i="1"/>
  <c r="B6325" i="1"/>
  <c r="A6326" i="1"/>
  <c r="A6327" i="1"/>
  <c r="B6327" i="1"/>
  <c r="A6328" i="1"/>
  <c r="B6328" i="1"/>
  <c r="A6329" i="1"/>
  <c r="B6329" i="1"/>
  <c r="A6330" i="1"/>
  <c r="B6330" i="1"/>
  <c r="A6331" i="1"/>
  <c r="A6332" i="1"/>
  <c r="B6332" i="1"/>
  <c r="A6333" i="1"/>
  <c r="B6333" i="1"/>
  <c r="A6334" i="1"/>
  <c r="A6335" i="1"/>
  <c r="B6335" i="1"/>
  <c r="A6336" i="1"/>
  <c r="A6337" i="1"/>
  <c r="A6338" i="1"/>
  <c r="B6338" i="1"/>
  <c r="A6339" i="1"/>
  <c r="B6339" i="1"/>
  <c r="A6340" i="1"/>
  <c r="A6341" i="1"/>
  <c r="B6341" i="1"/>
  <c r="A6342" i="1"/>
  <c r="B6342" i="1"/>
  <c r="A6343" i="1"/>
  <c r="B6343" i="1"/>
  <c r="A6344" i="1"/>
  <c r="B6344" i="1"/>
  <c r="A6345" i="1"/>
  <c r="A6346" i="1"/>
  <c r="B6346" i="1"/>
  <c r="A6347" i="1"/>
  <c r="B6347" i="1"/>
  <c r="A6348" i="1"/>
  <c r="A6349" i="1"/>
  <c r="B6349" i="1"/>
  <c r="A6350" i="1"/>
  <c r="B6350" i="1"/>
  <c r="A6351" i="1"/>
  <c r="B6351" i="1"/>
  <c r="A6352" i="1"/>
  <c r="B6352" i="1"/>
  <c r="A6353" i="1"/>
  <c r="B6353" i="1"/>
  <c r="A6354" i="1"/>
  <c r="B6354" i="1"/>
  <c r="A6355" i="1"/>
  <c r="B6355" i="1"/>
  <c r="A6356" i="1"/>
  <c r="B6356" i="1"/>
  <c r="A6357" i="1"/>
  <c r="B6357" i="1"/>
  <c r="A6358" i="1"/>
  <c r="B6358" i="1"/>
  <c r="A6359" i="1"/>
  <c r="B6359" i="1"/>
  <c r="A6360" i="1"/>
  <c r="B6360" i="1"/>
  <c r="A6361" i="1"/>
  <c r="B6361" i="1"/>
  <c r="A6362" i="1"/>
  <c r="B6362" i="1"/>
  <c r="A6363" i="1"/>
  <c r="A6364" i="1"/>
  <c r="B6364" i="1"/>
  <c r="A6365" i="1"/>
  <c r="B6365" i="1"/>
  <c r="A6366" i="1"/>
  <c r="B6366" i="1"/>
  <c r="A6367" i="1"/>
  <c r="A6368" i="1"/>
  <c r="B6368" i="1"/>
  <c r="A6369" i="1"/>
  <c r="B6369" i="1"/>
  <c r="A6370" i="1"/>
  <c r="A6371" i="1"/>
  <c r="B6371" i="1"/>
  <c r="A6372" i="1"/>
  <c r="A6373" i="1"/>
  <c r="A6374" i="1"/>
  <c r="B6374" i="1"/>
  <c r="A6375" i="1"/>
  <c r="A6376" i="1"/>
  <c r="B6376" i="1"/>
  <c r="A6377" i="1"/>
  <c r="B6377" i="1"/>
  <c r="A6378" i="1"/>
  <c r="B6378" i="1"/>
  <c r="A6379" i="1"/>
  <c r="B6379" i="1"/>
  <c r="A6380" i="1"/>
  <c r="B6380" i="1"/>
  <c r="A6381" i="1"/>
  <c r="A6382" i="1"/>
  <c r="B6382" i="1"/>
  <c r="A6383" i="1"/>
  <c r="B6383" i="1"/>
  <c r="A6384" i="1"/>
  <c r="B6384" i="1"/>
  <c r="A6385" i="1"/>
  <c r="B6385" i="1"/>
  <c r="A6386" i="1"/>
  <c r="A6387" i="1"/>
  <c r="B6387" i="1"/>
  <c r="A6388" i="1"/>
  <c r="B6388" i="1"/>
  <c r="A6389" i="1"/>
  <c r="B6389" i="1"/>
  <c r="A6390" i="1"/>
  <c r="A6391" i="1"/>
  <c r="A6392" i="1"/>
  <c r="A6393" i="1"/>
  <c r="B6393" i="1"/>
  <c r="A6394" i="1"/>
  <c r="B6394" i="1"/>
  <c r="A6395" i="1"/>
  <c r="B6395" i="1"/>
  <c r="A6396" i="1"/>
  <c r="B6396" i="1"/>
  <c r="A6397" i="1"/>
  <c r="B6397" i="1"/>
  <c r="A6398" i="1"/>
  <c r="B6398" i="1"/>
  <c r="A6399" i="1"/>
  <c r="B6399" i="1"/>
  <c r="A6400" i="1"/>
  <c r="B6400" i="1"/>
  <c r="A6401" i="1"/>
  <c r="B6401" i="1"/>
  <c r="A6402" i="1"/>
  <c r="B6402" i="1"/>
  <c r="A6403" i="1"/>
  <c r="B6403" i="1"/>
  <c r="A6404" i="1"/>
  <c r="B6404" i="1"/>
  <c r="A6405" i="1"/>
  <c r="B6405" i="1"/>
  <c r="A6406" i="1"/>
  <c r="A6407" i="1"/>
  <c r="A6408" i="1"/>
  <c r="A6409" i="1"/>
  <c r="B6409" i="1"/>
  <c r="A6410" i="1"/>
  <c r="B6410" i="1"/>
  <c r="A6411" i="1"/>
  <c r="B6411" i="1"/>
  <c r="A6412" i="1"/>
  <c r="B6412" i="1"/>
  <c r="A6413" i="1"/>
  <c r="B6413" i="1"/>
  <c r="A6414" i="1"/>
  <c r="A6415" i="1"/>
  <c r="B6415" i="1"/>
  <c r="A6416" i="1"/>
  <c r="A6417" i="1"/>
  <c r="B6417" i="1"/>
  <c r="A6418" i="1"/>
  <c r="B6418" i="1"/>
  <c r="A6419" i="1"/>
  <c r="B6419" i="1"/>
  <c r="A6420" i="1"/>
  <c r="B6420" i="1"/>
  <c r="A6421" i="1"/>
  <c r="B6421" i="1"/>
  <c r="A6422" i="1"/>
  <c r="B6422" i="1"/>
  <c r="A6423" i="1"/>
  <c r="B6423" i="1"/>
  <c r="A6424" i="1"/>
  <c r="A6425" i="1"/>
  <c r="B6425" i="1"/>
  <c r="A6426" i="1"/>
  <c r="B6426" i="1"/>
  <c r="A6427" i="1"/>
  <c r="B6427" i="1"/>
  <c r="A6428" i="1"/>
  <c r="B6428" i="1"/>
  <c r="A6429" i="1"/>
  <c r="B6429" i="1"/>
  <c r="A6430" i="1"/>
  <c r="B6430" i="1"/>
  <c r="A6431" i="1"/>
  <c r="B6431" i="1"/>
  <c r="A6432" i="1"/>
  <c r="A6433" i="1"/>
  <c r="B6433" i="1"/>
  <c r="A6434" i="1"/>
  <c r="A6435" i="1"/>
  <c r="A6436" i="1"/>
  <c r="B6436" i="1"/>
  <c r="A6437" i="1"/>
  <c r="A6438" i="1"/>
  <c r="B6438" i="1"/>
  <c r="A6439" i="1"/>
  <c r="B6439" i="1"/>
  <c r="A6440" i="1"/>
  <c r="A6441" i="1"/>
  <c r="A6442" i="1"/>
  <c r="B6442" i="1"/>
  <c r="A6443" i="1"/>
  <c r="B6443" i="1"/>
  <c r="A6444" i="1"/>
  <c r="A6445" i="1"/>
  <c r="A6446" i="1"/>
  <c r="B6446" i="1"/>
  <c r="A6447" i="1"/>
  <c r="A6448" i="1"/>
  <c r="A6449" i="1"/>
  <c r="B6449" i="1"/>
  <c r="A6450" i="1"/>
  <c r="B6450" i="1"/>
  <c r="A6451" i="1"/>
  <c r="B6451" i="1"/>
  <c r="A6452" i="1"/>
  <c r="B6452" i="1"/>
  <c r="A6453" i="1"/>
  <c r="B6453" i="1"/>
  <c r="A6454" i="1"/>
  <c r="B6454" i="1"/>
  <c r="A6455" i="1"/>
  <c r="B6455" i="1"/>
  <c r="A6456" i="1"/>
  <c r="B6456" i="1"/>
  <c r="A6457" i="1"/>
  <c r="B6457" i="1"/>
  <c r="A6458" i="1"/>
  <c r="B6458" i="1"/>
  <c r="A6459" i="1"/>
  <c r="B6459" i="1"/>
  <c r="A6460" i="1"/>
  <c r="B6460" i="1"/>
  <c r="A6461" i="1"/>
  <c r="A6462" i="1"/>
  <c r="B6462" i="1"/>
  <c r="A6463" i="1"/>
  <c r="B6463" i="1"/>
  <c r="A6464" i="1"/>
  <c r="B6464" i="1"/>
  <c r="A6465" i="1"/>
  <c r="B6465" i="1"/>
  <c r="A6466" i="1"/>
  <c r="B6466" i="1"/>
  <c r="A6467" i="1"/>
  <c r="B6467" i="1"/>
  <c r="A6468" i="1"/>
  <c r="B6468" i="1"/>
  <c r="A6469" i="1"/>
  <c r="B6469" i="1"/>
  <c r="A6470" i="1"/>
  <c r="B6470" i="1"/>
  <c r="A6471" i="1"/>
  <c r="B6471" i="1"/>
  <c r="A6472" i="1"/>
  <c r="B6472" i="1"/>
  <c r="A6473" i="1"/>
  <c r="B6473" i="1"/>
  <c r="A6474" i="1"/>
  <c r="B6474" i="1"/>
  <c r="A6475" i="1"/>
  <c r="B6475" i="1"/>
  <c r="A6476" i="1"/>
  <c r="B6476" i="1"/>
  <c r="A6477" i="1"/>
  <c r="B6477" i="1"/>
  <c r="A6478" i="1"/>
  <c r="B6478" i="1"/>
  <c r="A6479" i="1"/>
  <c r="B6479" i="1"/>
  <c r="A6480" i="1"/>
  <c r="B6480" i="1"/>
  <c r="A6481" i="1"/>
  <c r="A6482" i="1"/>
  <c r="B6482" i="1"/>
  <c r="A6483" i="1"/>
  <c r="B6483" i="1"/>
  <c r="A6484" i="1"/>
  <c r="B6484" i="1"/>
  <c r="A6485" i="1"/>
  <c r="B6485" i="1"/>
  <c r="A6486" i="1"/>
  <c r="B6486" i="1"/>
  <c r="A6487" i="1"/>
  <c r="A6488" i="1"/>
  <c r="B6488" i="1"/>
  <c r="A6489" i="1"/>
  <c r="B6489" i="1"/>
  <c r="A6490" i="1"/>
  <c r="A6491" i="1"/>
  <c r="B6491" i="1"/>
  <c r="A6492" i="1"/>
  <c r="B6492" i="1"/>
  <c r="A6493" i="1"/>
  <c r="B6493" i="1"/>
  <c r="A6494" i="1"/>
  <c r="B6494" i="1"/>
  <c r="A6495" i="1"/>
  <c r="B6495" i="1"/>
  <c r="A6496" i="1"/>
  <c r="B6496" i="1"/>
  <c r="A6497" i="1"/>
  <c r="B6497" i="1"/>
  <c r="A6498" i="1"/>
  <c r="B6498" i="1"/>
  <c r="A6499" i="1"/>
  <c r="B6499" i="1"/>
  <c r="A6500" i="1"/>
  <c r="A6501" i="1"/>
  <c r="B6501" i="1"/>
  <c r="A6502" i="1"/>
  <c r="B6502" i="1"/>
  <c r="A6503" i="1"/>
  <c r="B6503" i="1"/>
  <c r="A6504" i="1"/>
  <c r="B6504" i="1"/>
  <c r="A6505" i="1"/>
  <c r="B6505" i="1"/>
  <c r="A6506" i="1"/>
  <c r="B6506" i="1"/>
  <c r="A6507" i="1"/>
  <c r="B6507" i="1"/>
  <c r="A6508" i="1"/>
  <c r="B6508" i="1"/>
  <c r="A6509" i="1"/>
  <c r="B6509" i="1"/>
  <c r="A6510" i="1"/>
  <c r="B6510" i="1"/>
  <c r="A6511" i="1"/>
  <c r="B6511" i="1"/>
  <c r="A6512" i="1"/>
  <c r="B6512" i="1"/>
  <c r="A6513" i="1"/>
  <c r="B6513" i="1"/>
  <c r="A6514" i="1"/>
  <c r="B6514" i="1"/>
  <c r="A6515" i="1"/>
  <c r="B6515" i="1"/>
  <c r="A6516" i="1"/>
  <c r="A6517" i="1"/>
  <c r="B6517" i="1"/>
  <c r="A6518" i="1"/>
  <c r="B6518" i="1"/>
  <c r="A6519" i="1"/>
  <c r="B6519" i="1"/>
  <c r="A6520" i="1"/>
  <c r="B6520" i="1"/>
  <c r="A6521" i="1"/>
  <c r="B6521" i="1"/>
  <c r="A6522" i="1"/>
  <c r="B6522" i="1"/>
  <c r="A6523" i="1"/>
  <c r="A6524" i="1"/>
  <c r="B6524" i="1"/>
  <c r="A6525" i="1"/>
  <c r="B6525" i="1"/>
  <c r="A6526" i="1"/>
  <c r="B6526" i="1"/>
  <c r="A6527" i="1"/>
  <c r="A6528" i="1"/>
  <c r="A6529" i="1"/>
  <c r="B6529" i="1"/>
  <c r="A6530" i="1"/>
  <c r="B6530" i="1"/>
  <c r="A6531" i="1"/>
  <c r="B6531" i="1"/>
  <c r="A6532" i="1"/>
  <c r="B6532" i="1"/>
  <c r="A6533" i="1"/>
  <c r="B6533" i="1"/>
  <c r="A6534" i="1"/>
  <c r="B6534" i="1"/>
  <c r="A6535" i="1"/>
  <c r="B6535" i="1"/>
  <c r="A6536" i="1"/>
  <c r="A6537" i="1"/>
  <c r="B6537" i="1"/>
  <c r="A6538" i="1"/>
  <c r="B6538" i="1"/>
  <c r="A6539" i="1"/>
  <c r="B6539" i="1"/>
  <c r="A6540" i="1"/>
  <c r="B6540" i="1"/>
  <c r="A6541" i="1"/>
  <c r="B6541" i="1"/>
  <c r="A6542" i="1"/>
  <c r="B6542" i="1"/>
  <c r="A6543" i="1"/>
  <c r="B6543" i="1"/>
  <c r="A6544" i="1"/>
  <c r="B6544" i="1"/>
  <c r="A6545" i="1"/>
  <c r="B6545" i="1"/>
  <c r="A6546" i="1"/>
  <c r="B6546" i="1"/>
  <c r="A6547" i="1"/>
  <c r="B6547" i="1"/>
  <c r="A6548" i="1"/>
  <c r="B6548" i="1"/>
  <c r="A6549" i="1"/>
  <c r="B6549" i="1"/>
  <c r="A6550" i="1"/>
  <c r="B6550" i="1"/>
  <c r="A6551" i="1"/>
  <c r="B6551" i="1"/>
  <c r="A6552" i="1"/>
  <c r="B6552" i="1"/>
  <c r="A6553" i="1"/>
  <c r="B6553" i="1"/>
  <c r="A6554" i="1"/>
  <c r="B6554" i="1"/>
  <c r="A6555" i="1"/>
  <c r="B6555" i="1"/>
  <c r="A6556" i="1"/>
  <c r="A6557" i="1"/>
  <c r="B6557" i="1"/>
  <c r="A6558" i="1"/>
  <c r="A6559" i="1"/>
  <c r="B6559" i="1"/>
  <c r="A6560" i="1"/>
  <c r="B6560" i="1"/>
  <c r="A6561" i="1"/>
  <c r="B6561" i="1"/>
  <c r="A6562" i="1"/>
  <c r="A6563" i="1"/>
  <c r="A6564" i="1"/>
  <c r="B6564" i="1"/>
  <c r="A6565" i="1"/>
  <c r="B6565" i="1"/>
  <c r="A6566" i="1"/>
  <c r="B6566" i="1"/>
  <c r="A6567" i="1"/>
  <c r="B6567" i="1"/>
  <c r="A6568" i="1"/>
  <c r="B6568" i="1"/>
  <c r="A6569" i="1"/>
  <c r="B6569" i="1"/>
  <c r="A6570" i="1"/>
  <c r="B6570" i="1"/>
  <c r="A6571" i="1"/>
  <c r="B6571" i="1"/>
  <c r="A6572" i="1"/>
  <c r="B6572" i="1"/>
  <c r="A6573" i="1"/>
  <c r="A6574" i="1"/>
  <c r="A6575" i="1"/>
  <c r="A6576" i="1"/>
  <c r="A6577" i="1"/>
  <c r="A6578" i="1"/>
  <c r="A6579" i="1"/>
  <c r="B6579" i="1"/>
  <c r="A6580" i="1"/>
  <c r="B6580" i="1"/>
  <c r="A6581" i="1"/>
  <c r="A6582" i="1"/>
  <c r="B6582" i="1"/>
  <c r="A6583" i="1"/>
  <c r="B6583" i="1"/>
  <c r="A6584" i="1"/>
  <c r="B6584" i="1"/>
  <c r="A6585" i="1"/>
  <c r="A6586" i="1"/>
  <c r="B6586" i="1"/>
  <c r="A6587" i="1"/>
  <c r="B6587" i="1"/>
  <c r="A6588" i="1"/>
  <c r="B6588" i="1"/>
  <c r="A6589" i="1"/>
  <c r="B6589" i="1"/>
  <c r="A6590" i="1"/>
  <c r="B6590" i="1"/>
  <c r="A6591" i="1"/>
  <c r="B6591" i="1"/>
  <c r="A6592" i="1"/>
  <c r="B6592" i="1"/>
  <c r="A6593" i="1"/>
  <c r="B6593" i="1"/>
  <c r="A6594" i="1"/>
  <c r="A6595" i="1"/>
  <c r="B6595" i="1"/>
  <c r="A6596" i="1"/>
  <c r="B6596" i="1"/>
  <c r="A6597" i="1"/>
  <c r="B6597" i="1"/>
  <c r="A6598" i="1"/>
  <c r="B6598" i="1"/>
  <c r="A6599" i="1"/>
  <c r="B6599" i="1"/>
  <c r="A6600" i="1"/>
  <c r="B6600" i="1"/>
  <c r="A6601" i="1"/>
  <c r="B6601" i="1"/>
  <c r="A6602" i="1"/>
  <c r="B6602" i="1"/>
  <c r="A6603" i="1"/>
  <c r="A6604" i="1"/>
  <c r="B6604" i="1"/>
  <c r="A6605" i="1"/>
  <c r="B6605" i="1"/>
  <c r="A6606" i="1"/>
  <c r="A6607" i="1"/>
  <c r="A6608" i="1"/>
  <c r="B6608" i="1"/>
  <c r="A6609" i="1"/>
  <c r="A6610" i="1"/>
  <c r="B6610" i="1"/>
  <c r="A6611" i="1"/>
  <c r="B6611" i="1"/>
  <c r="A6612" i="1"/>
  <c r="A6613" i="1"/>
  <c r="B6613" i="1"/>
  <c r="A6614" i="1"/>
  <c r="B6614" i="1"/>
  <c r="A6615" i="1"/>
  <c r="B6615" i="1"/>
  <c r="A6616" i="1"/>
  <c r="A6617" i="1"/>
  <c r="A6618" i="1"/>
  <c r="A6619" i="1"/>
  <c r="A6620" i="1"/>
  <c r="B6620" i="1"/>
  <c r="A6621" i="1"/>
  <c r="A6622" i="1"/>
  <c r="A6623" i="1"/>
  <c r="B6623" i="1"/>
  <c r="A6624" i="1"/>
  <c r="A6625" i="1"/>
  <c r="B6625" i="1"/>
  <c r="A6626" i="1"/>
  <c r="A6627" i="1"/>
  <c r="A6628" i="1"/>
  <c r="B6628" i="1"/>
  <c r="A6629" i="1"/>
  <c r="A6630" i="1"/>
  <c r="A6631" i="1"/>
  <c r="B6631" i="1"/>
  <c r="A6632" i="1"/>
  <c r="B6632" i="1"/>
  <c r="A6633" i="1"/>
  <c r="B6633" i="1"/>
  <c r="A6634" i="1"/>
  <c r="B6634" i="1"/>
  <c r="A6635" i="1"/>
  <c r="A6636" i="1"/>
  <c r="B6636" i="1"/>
  <c r="A6637" i="1"/>
  <c r="B6637" i="1"/>
  <c r="A6638" i="1"/>
  <c r="A6639" i="1"/>
  <c r="B6639" i="1"/>
  <c r="A6640" i="1"/>
  <c r="A6641" i="1"/>
  <c r="B6641" i="1"/>
  <c r="A6642" i="1"/>
  <c r="A6643" i="1"/>
  <c r="B6643" i="1"/>
  <c r="A6644" i="1"/>
  <c r="A6645" i="1"/>
  <c r="A6646" i="1"/>
  <c r="A6647" i="1"/>
  <c r="B6647" i="1"/>
  <c r="A6648" i="1"/>
  <c r="B6648" i="1"/>
  <c r="A6649" i="1"/>
  <c r="B6649" i="1"/>
  <c r="A6650" i="1"/>
  <c r="B6650" i="1"/>
  <c r="A6651" i="1"/>
  <c r="B6651" i="1"/>
  <c r="A6652" i="1"/>
  <c r="B6652" i="1"/>
  <c r="A6653" i="1"/>
  <c r="B6653" i="1"/>
  <c r="A6654" i="1"/>
  <c r="B6654" i="1"/>
  <c r="A6655" i="1"/>
  <c r="B6655" i="1"/>
  <c r="A6656" i="1"/>
  <c r="B6656" i="1"/>
  <c r="A6657" i="1"/>
  <c r="B6657" i="1"/>
  <c r="A6658" i="1"/>
  <c r="B6658" i="1"/>
  <c r="A6659" i="1"/>
  <c r="B6659" i="1"/>
  <c r="A6660" i="1"/>
  <c r="B6660" i="1"/>
  <c r="A6661" i="1"/>
  <c r="B6661" i="1"/>
  <c r="A6662" i="1"/>
  <c r="B6662" i="1"/>
  <c r="A6663" i="1"/>
  <c r="B6663" i="1"/>
  <c r="A6664" i="1"/>
  <c r="B6664" i="1"/>
  <c r="A6665" i="1"/>
  <c r="B6665" i="1"/>
  <c r="A6666" i="1"/>
  <c r="B6666" i="1"/>
  <c r="A6667" i="1"/>
  <c r="B6667" i="1"/>
  <c r="A6668" i="1"/>
  <c r="B6668" i="1"/>
  <c r="A6669" i="1"/>
  <c r="A6670" i="1"/>
  <c r="B6670" i="1"/>
  <c r="A6671" i="1"/>
  <c r="A6672" i="1"/>
  <c r="A6673" i="1"/>
  <c r="B6673" i="1"/>
  <c r="A6674" i="1"/>
  <c r="B6674" i="1"/>
  <c r="A6675" i="1"/>
  <c r="B6675" i="1"/>
  <c r="A6676" i="1"/>
  <c r="B6676" i="1"/>
  <c r="A6677" i="1"/>
  <c r="A6678" i="1"/>
  <c r="A6679" i="1"/>
  <c r="B6679" i="1"/>
  <c r="A6680" i="1"/>
  <c r="B6680" i="1"/>
  <c r="A6681" i="1"/>
  <c r="B6681" i="1"/>
  <c r="A6682" i="1"/>
  <c r="B6682" i="1"/>
  <c r="A6683" i="1"/>
  <c r="B6683" i="1"/>
  <c r="A6684" i="1"/>
  <c r="B6684" i="1"/>
  <c r="A6685" i="1"/>
  <c r="B6685" i="1"/>
  <c r="A6686" i="1"/>
  <c r="A6687" i="1"/>
  <c r="B6687" i="1"/>
  <c r="A6688" i="1"/>
  <c r="B6688" i="1"/>
  <c r="A6689" i="1"/>
  <c r="B6689" i="1"/>
  <c r="A6690" i="1"/>
  <c r="A6691" i="1"/>
  <c r="B6691" i="1"/>
  <c r="A6692" i="1"/>
  <c r="B6692" i="1"/>
  <c r="A6693" i="1"/>
  <c r="A6694" i="1"/>
  <c r="B6694" i="1"/>
  <c r="A6695" i="1"/>
  <c r="A6696" i="1"/>
  <c r="B6696" i="1"/>
  <c r="A6697" i="1"/>
  <c r="B6697" i="1"/>
  <c r="A6698" i="1"/>
  <c r="A6699" i="1"/>
  <c r="B6699" i="1"/>
  <c r="A6700" i="1"/>
  <c r="B6700" i="1"/>
  <c r="A6701" i="1"/>
  <c r="B6701" i="1"/>
  <c r="A6702" i="1"/>
  <c r="B6702" i="1"/>
  <c r="A6703" i="1"/>
  <c r="A6704" i="1"/>
  <c r="B6704" i="1"/>
  <c r="A6705" i="1"/>
  <c r="B6705" i="1"/>
  <c r="A6706" i="1"/>
  <c r="B6706" i="1"/>
  <c r="A6707" i="1"/>
  <c r="B6707" i="1"/>
  <c r="A6708" i="1"/>
  <c r="B6708" i="1"/>
  <c r="A6709" i="1"/>
  <c r="B6709" i="1"/>
  <c r="A6710" i="1"/>
  <c r="B6710" i="1"/>
  <c r="A6711" i="1"/>
  <c r="B6711" i="1"/>
  <c r="A6712" i="1"/>
  <c r="A6713" i="1"/>
  <c r="B6713" i="1"/>
  <c r="A6714" i="1"/>
  <c r="A6715" i="1"/>
  <c r="B6715" i="1"/>
  <c r="A6716" i="1"/>
  <c r="B6716" i="1"/>
  <c r="A6717" i="1"/>
  <c r="B6717" i="1"/>
  <c r="A6718" i="1"/>
  <c r="B6718" i="1"/>
  <c r="A6719" i="1"/>
  <c r="A6720" i="1"/>
  <c r="B6720" i="1"/>
  <c r="A6721" i="1"/>
  <c r="A6722" i="1"/>
  <c r="B6722" i="1"/>
  <c r="A6723" i="1"/>
  <c r="B6723" i="1"/>
  <c r="A6724" i="1"/>
  <c r="B6724" i="1"/>
  <c r="A6725" i="1"/>
  <c r="B6725" i="1"/>
  <c r="A6726" i="1"/>
  <c r="B6726" i="1"/>
  <c r="A6727" i="1"/>
  <c r="B6727" i="1"/>
  <c r="A6728" i="1"/>
  <c r="B6728" i="1"/>
  <c r="A6729" i="1"/>
  <c r="A6730" i="1"/>
  <c r="A6731" i="1"/>
  <c r="B6731" i="1"/>
  <c r="A6732" i="1"/>
  <c r="B6732" i="1"/>
  <c r="A6733" i="1"/>
  <c r="B6733" i="1"/>
  <c r="A6734" i="1"/>
  <c r="A6735" i="1"/>
  <c r="B6735" i="1"/>
  <c r="A6736" i="1"/>
  <c r="B6736" i="1"/>
  <c r="A6737" i="1"/>
  <c r="B6737" i="1"/>
  <c r="A6738" i="1"/>
  <c r="A6739" i="1"/>
  <c r="B6739" i="1"/>
  <c r="A6740" i="1"/>
  <c r="B6740" i="1"/>
  <c r="A6741" i="1"/>
  <c r="B6741" i="1"/>
  <c r="A6742" i="1"/>
  <c r="B6742" i="1"/>
  <c r="A6743" i="1"/>
  <c r="B6743" i="1"/>
  <c r="A6744" i="1"/>
  <c r="B6744" i="1"/>
  <c r="A6745" i="1"/>
  <c r="A6746" i="1"/>
  <c r="B6746" i="1"/>
  <c r="A6747" i="1"/>
  <c r="B6747" i="1"/>
  <c r="A6748" i="1"/>
  <c r="B6748" i="1"/>
  <c r="A6749" i="1"/>
  <c r="B6749" i="1"/>
  <c r="A6750" i="1"/>
  <c r="B6750" i="1"/>
  <c r="A6751" i="1"/>
  <c r="A6752" i="1"/>
  <c r="B6752" i="1"/>
  <c r="A6753" i="1"/>
  <c r="B6753" i="1"/>
  <c r="A6754" i="1"/>
  <c r="B6754" i="1"/>
  <c r="A6755" i="1"/>
  <c r="B6755" i="1"/>
  <c r="A6756" i="1"/>
  <c r="B6756" i="1"/>
  <c r="A6757" i="1"/>
  <c r="B6757" i="1"/>
  <c r="A6758" i="1"/>
  <c r="B6758" i="1"/>
  <c r="A6759" i="1"/>
  <c r="B6759" i="1"/>
  <c r="A6760" i="1"/>
  <c r="B6760" i="1"/>
  <c r="A6761" i="1"/>
  <c r="B6761" i="1"/>
  <c r="A6762" i="1"/>
  <c r="A6763" i="1"/>
  <c r="B6763" i="1"/>
  <c r="A6764" i="1"/>
  <c r="A6765" i="1"/>
  <c r="B6765" i="1"/>
  <c r="A6766" i="1"/>
  <c r="B6766" i="1"/>
  <c r="A6767" i="1"/>
  <c r="B6767" i="1"/>
  <c r="A6768" i="1"/>
  <c r="B6768" i="1"/>
  <c r="A6769" i="1"/>
  <c r="B6769" i="1"/>
  <c r="A6770" i="1"/>
  <c r="A6771" i="1"/>
  <c r="B6771" i="1"/>
  <c r="A6772" i="1"/>
  <c r="A6773" i="1"/>
  <c r="A6774" i="1"/>
  <c r="B6774" i="1"/>
  <c r="A6775" i="1"/>
  <c r="B6775" i="1"/>
  <c r="A6776" i="1"/>
  <c r="B6776" i="1"/>
  <c r="A6777" i="1"/>
  <c r="A6778" i="1"/>
  <c r="B6778" i="1"/>
  <c r="A6779" i="1"/>
  <c r="B6779" i="1"/>
  <c r="A6780" i="1"/>
  <c r="A6781" i="1"/>
  <c r="B6781" i="1"/>
  <c r="A6782" i="1"/>
  <c r="B6782" i="1"/>
  <c r="A6783" i="1"/>
  <c r="B6783" i="1"/>
  <c r="A6784" i="1"/>
  <c r="B6784" i="1"/>
  <c r="A6785" i="1"/>
  <c r="B6785" i="1"/>
  <c r="A6786" i="1"/>
  <c r="B6786" i="1"/>
  <c r="A6787" i="1"/>
  <c r="B6787" i="1"/>
  <c r="A6788" i="1"/>
  <c r="B6788" i="1"/>
  <c r="A6789" i="1"/>
  <c r="B6789" i="1"/>
  <c r="A6790" i="1"/>
  <c r="B6790" i="1"/>
  <c r="A6791" i="1"/>
  <c r="A6792" i="1"/>
  <c r="A6793" i="1"/>
  <c r="A6794" i="1"/>
  <c r="A6795" i="1"/>
  <c r="A6796" i="1"/>
  <c r="A6797" i="1"/>
  <c r="A6798" i="1"/>
  <c r="A6799" i="1"/>
  <c r="B6799" i="1"/>
  <c r="A6800" i="1"/>
  <c r="B6800" i="1"/>
  <c r="A6801" i="1"/>
  <c r="B6801" i="1"/>
  <c r="A6802" i="1"/>
  <c r="B6802" i="1"/>
  <c r="A6803" i="1"/>
  <c r="B6803" i="1"/>
  <c r="A6804" i="1"/>
  <c r="B6804" i="1"/>
  <c r="A6805" i="1"/>
  <c r="B6805" i="1"/>
  <c r="A6806" i="1"/>
  <c r="B6806" i="1"/>
  <c r="A6807" i="1"/>
  <c r="B6807" i="1"/>
  <c r="A6808" i="1"/>
  <c r="B6808" i="1"/>
  <c r="A6809" i="1"/>
  <c r="B6809" i="1"/>
  <c r="A6810" i="1"/>
  <c r="B6810" i="1"/>
  <c r="A6811" i="1"/>
  <c r="B6811" i="1"/>
  <c r="A6812" i="1"/>
  <c r="B6812" i="1"/>
  <c r="A6813" i="1"/>
  <c r="B6813" i="1"/>
  <c r="A6814" i="1"/>
  <c r="B6814" i="1"/>
  <c r="A6815" i="1"/>
  <c r="B6815" i="1"/>
  <c r="A6816" i="1"/>
  <c r="B6816" i="1"/>
  <c r="A6817" i="1"/>
  <c r="B6817" i="1"/>
  <c r="A6818" i="1"/>
  <c r="B6818" i="1"/>
  <c r="A6819" i="1"/>
  <c r="B6819" i="1"/>
  <c r="A6820" i="1"/>
  <c r="A6821" i="1"/>
  <c r="B6821" i="1"/>
  <c r="A6822" i="1"/>
  <c r="A6823" i="1"/>
  <c r="B6823" i="1"/>
  <c r="A6824" i="1"/>
  <c r="B6824" i="1"/>
  <c r="A6825" i="1"/>
  <c r="B6825" i="1"/>
  <c r="A6826" i="1"/>
  <c r="B6826" i="1"/>
  <c r="A6827" i="1"/>
  <c r="B6827" i="1"/>
  <c r="A6828" i="1"/>
  <c r="B6828" i="1"/>
  <c r="A6829" i="1"/>
  <c r="B6829" i="1"/>
  <c r="A6830" i="1"/>
  <c r="B6830" i="1"/>
  <c r="A6831" i="1"/>
  <c r="B6831" i="1"/>
  <c r="A6832" i="1"/>
  <c r="B6832" i="1"/>
  <c r="A6833" i="1"/>
  <c r="B6833" i="1"/>
  <c r="A6834" i="1"/>
  <c r="B6834" i="1"/>
  <c r="A6835" i="1"/>
  <c r="B6835" i="1"/>
  <c r="A6836" i="1"/>
  <c r="B6836" i="1"/>
  <c r="A6837" i="1"/>
  <c r="B6837" i="1"/>
  <c r="A6838" i="1"/>
  <c r="B6838" i="1"/>
  <c r="A6839" i="1"/>
  <c r="B6839" i="1"/>
  <c r="A6840" i="1"/>
  <c r="B6840" i="1"/>
  <c r="A6841" i="1"/>
  <c r="B6841" i="1"/>
  <c r="A6842" i="1"/>
  <c r="B6842" i="1"/>
  <c r="A6843" i="1"/>
  <c r="B6843" i="1"/>
  <c r="A6844" i="1"/>
  <c r="B6844" i="1"/>
  <c r="A6845" i="1"/>
  <c r="B6845" i="1"/>
  <c r="A6846" i="1"/>
  <c r="B6846" i="1"/>
  <c r="A6847" i="1"/>
  <c r="A6848" i="1"/>
  <c r="B6848" i="1"/>
  <c r="A6849" i="1"/>
  <c r="B6849" i="1"/>
  <c r="A6850" i="1"/>
  <c r="B6850" i="1"/>
  <c r="A6851" i="1"/>
  <c r="B6851" i="1"/>
  <c r="A6852" i="1"/>
  <c r="B6852" i="1"/>
  <c r="A6853" i="1"/>
  <c r="B6853" i="1"/>
  <c r="A6854" i="1"/>
  <c r="B6854" i="1"/>
  <c r="A6855" i="1"/>
  <c r="B6855" i="1"/>
  <c r="A6856" i="1"/>
  <c r="B6856" i="1"/>
  <c r="A6857" i="1"/>
  <c r="B6857" i="1"/>
  <c r="A6858" i="1"/>
  <c r="B6858" i="1"/>
  <c r="A6859" i="1"/>
  <c r="B6859" i="1"/>
  <c r="A6860" i="1"/>
  <c r="B6860" i="1"/>
  <c r="A6861" i="1"/>
  <c r="B6861" i="1"/>
  <c r="A6862" i="1"/>
  <c r="B6862" i="1"/>
  <c r="A6863" i="1"/>
  <c r="B6863" i="1"/>
  <c r="A6864" i="1"/>
  <c r="B6864" i="1"/>
  <c r="A6865" i="1"/>
  <c r="A6866" i="1"/>
  <c r="B6866" i="1"/>
  <c r="A6867" i="1"/>
  <c r="B6867" i="1"/>
  <c r="A6868" i="1"/>
  <c r="B6868" i="1"/>
  <c r="A6869" i="1"/>
  <c r="B6869" i="1"/>
  <c r="A6870" i="1"/>
  <c r="B6870" i="1"/>
  <c r="A6871" i="1"/>
  <c r="B6871" i="1"/>
  <c r="A6872" i="1"/>
  <c r="B6872" i="1"/>
  <c r="A6873" i="1"/>
  <c r="A6874" i="1"/>
  <c r="B6874" i="1"/>
  <c r="A6875" i="1"/>
  <c r="B6875" i="1"/>
  <c r="A6876" i="1"/>
  <c r="B6876" i="1"/>
  <c r="A6877" i="1"/>
  <c r="B6877" i="1"/>
  <c r="A6878" i="1"/>
  <c r="B6878" i="1"/>
  <c r="A6879" i="1"/>
  <c r="A6880" i="1"/>
  <c r="B6880" i="1"/>
  <c r="A6881" i="1"/>
  <c r="A6882" i="1"/>
  <c r="B6882" i="1"/>
  <c r="A6883" i="1"/>
  <c r="B6883" i="1"/>
  <c r="A6884" i="1"/>
  <c r="B6884" i="1"/>
  <c r="A6885" i="1"/>
  <c r="B6885" i="1"/>
  <c r="A6886" i="1"/>
  <c r="B6886" i="1"/>
  <c r="A6887" i="1"/>
  <c r="A6888" i="1"/>
  <c r="B6888" i="1"/>
  <c r="A6889" i="1"/>
  <c r="B6889" i="1"/>
  <c r="A6890" i="1"/>
  <c r="B6890" i="1"/>
  <c r="A6891" i="1"/>
  <c r="B6891" i="1"/>
  <c r="A6892" i="1"/>
  <c r="B6892" i="1"/>
  <c r="A6893" i="1"/>
  <c r="B6893" i="1"/>
  <c r="A6894" i="1"/>
  <c r="B6894" i="1"/>
  <c r="A6895" i="1"/>
  <c r="B6895" i="1"/>
  <c r="A6896" i="1"/>
  <c r="B6896" i="1"/>
  <c r="A6897" i="1"/>
  <c r="B6897" i="1"/>
  <c r="A6898" i="1"/>
  <c r="B6898" i="1"/>
  <c r="A6899" i="1"/>
  <c r="B6899" i="1"/>
  <c r="A6900" i="1"/>
  <c r="A6901" i="1"/>
  <c r="A6902" i="1"/>
  <c r="A6903" i="1"/>
  <c r="A6904" i="1"/>
  <c r="A6905" i="1"/>
  <c r="A6906" i="1"/>
  <c r="A6907" i="1"/>
  <c r="A6908" i="1"/>
  <c r="B6908" i="1"/>
  <c r="A6909" i="1"/>
  <c r="A6910" i="1"/>
  <c r="A6911" i="1"/>
  <c r="B6911" i="1"/>
  <c r="A6912" i="1"/>
  <c r="A6913" i="1"/>
  <c r="B6913" i="1"/>
  <c r="A6914" i="1"/>
  <c r="B6914" i="1"/>
  <c r="A6915" i="1"/>
  <c r="B6915" i="1"/>
  <c r="A6916" i="1"/>
  <c r="B6916" i="1"/>
  <c r="A6917" i="1"/>
  <c r="B6917" i="1"/>
  <c r="A6918" i="1"/>
  <c r="B6918" i="1"/>
  <c r="A6919" i="1"/>
  <c r="B6919" i="1"/>
  <c r="A6920" i="1"/>
  <c r="B6920" i="1"/>
  <c r="A6921" i="1"/>
  <c r="B6921" i="1"/>
  <c r="A6922" i="1"/>
  <c r="B6922" i="1"/>
  <c r="A6923" i="1"/>
  <c r="A6924" i="1"/>
  <c r="B6924" i="1"/>
  <c r="A6925" i="1"/>
  <c r="B6925" i="1"/>
  <c r="A6926" i="1"/>
  <c r="B6926" i="1"/>
  <c r="A6927" i="1"/>
  <c r="B6927" i="1"/>
  <c r="A6928" i="1"/>
  <c r="B6928" i="1"/>
  <c r="A6929" i="1"/>
  <c r="B6929" i="1"/>
  <c r="A6930" i="1"/>
  <c r="B6930" i="1"/>
  <c r="A6931" i="1"/>
  <c r="B6931" i="1"/>
  <c r="A6932" i="1"/>
  <c r="B6932" i="1"/>
  <c r="A6933" i="1"/>
  <c r="B6933" i="1"/>
  <c r="A6934" i="1"/>
  <c r="A6935" i="1"/>
  <c r="B6935" i="1"/>
  <c r="A6936" i="1"/>
  <c r="B6936" i="1"/>
  <c r="A6937" i="1"/>
  <c r="B6937" i="1"/>
  <c r="A6938" i="1"/>
  <c r="A6939" i="1"/>
  <c r="B6939" i="1"/>
  <c r="A6940" i="1"/>
  <c r="B6940" i="1"/>
  <c r="A6941" i="1"/>
  <c r="B6941" i="1"/>
  <c r="A6942" i="1"/>
  <c r="B6942" i="1"/>
  <c r="A6943" i="1"/>
  <c r="A6944" i="1"/>
  <c r="A6945" i="1"/>
  <c r="A6946" i="1"/>
  <c r="B6946" i="1"/>
  <c r="A6947" i="1"/>
  <c r="B6947" i="1"/>
  <c r="A6948" i="1"/>
  <c r="A6949" i="1"/>
  <c r="A6950" i="1"/>
  <c r="B6950" i="1"/>
  <c r="A6951" i="1"/>
  <c r="B6951" i="1"/>
  <c r="A6952" i="1"/>
  <c r="B6952" i="1"/>
  <c r="A6953" i="1"/>
  <c r="B6953" i="1"/>
  <c r="A6954" i="1"/>
  <c r="A6955" i="1"/>
  <c r="B6955" i="1"/>
  <c r="A6956" i="1"/>
  <c r="B6956" i="1"/>
  <c r="A6957" i="1"/>
  <c r="B6957" i="1"/>
  <c r="A6958" i="1"/>
  <c r="B6958" i="1"/>
  <c r="A6959" i="1"/>
  <c r="B6959" i="1"/>
  <c r="A6960" i="1"/>
  <c r="B6960" i="1"/>
  <c r="A6961" i="1"/>
  <c r="B6961" i="1"/>
  <c r="A6962" i="1"/>
  <c r="A6963" i="1"/>
  <c r="B6963" i="1"/>
  <c r="A6964" i="1"/>
  <c r="B6964" i="1"/>
  <c r="A6965" i="1"/>
  <c r="B6965" i="1"/>
  <c r="A6966" i="1"/>
  <c r="A6967" i="1"/>
  <c r="B6967" i="1"/>
  <c r="A6968" i="1"/>
  <c r="B6968" i="1"/>
  <c r="A6969" i="1"/>
  <c r="B6969" i="1"/>
  <c r="A6970" i="1"/>
  <c r="A6971" i="1"/>
  <c r="B6971" i="1"/>
  <c r="A6972" i="1"/>
  <c r="B6972" i="1"/>
  <c r="A6973" i="1"/>
  <c r="B6973" i="1"/>
  <c r="A6974" i="1"/>
  <c r="B6974" i="1"/>
  <c r="A6975" i="1"/>
  <c r="B6975" i="1"/>
  <c r="A6976" i="1"/>
  <c r="A6977" i="1"/>
  <c r="A6978" i="1"/>
  <c r="A6979" i="1"/>
  <c r="A6980" i="1"/>
  <c r="A6981" i="1"/>
  <c r="B6981" i="1"/>
  <c r="A6982" i="1"/>
  <c r="B6982" i="1"/>
  <c r="A6983" i="1"/>
  <c r="B6983" i="1"/>
  <c r="A6984" i="1"/>
  <c r="B6984" i="1"/>
  <c r="A6985" i="1"/>
  <c r="B6985" i="1"/>
  <c r="A6986" i="1"/>
  <c r="B6986" i="1"/>
  <c r="A6987" i="1"/>
  <c r="B6987" i="1"/>
  <c r="A6988" i="1"/>
  <c r="B6988" i="1"/>
  <c r="A6989" i="1"/>
  <c r="B6989" i="1"/>
  <c r="A6990" i="1"/>
  <c r="B6990" i="1"/>
  <c r="A6991" i="1"/>
  <c r="B6991" i="1"/>
  <c r="A6992" i="1"/>
  <c r="A6993" i="1"/>
  <c r="A6994" i="1"/>
  <c r="A6995" i="1"/>
  <c r="B6995" i="1"/>
  <c r="A6996" i="1"/>
  <c r="A6997" i="1"/>
  <c r="A6998" i="1"/>
  <c r="B6998" i="1"/>
  <c r="A6999" i="1"/>
  <c r="B6999" i="1"/>
  <c r="A7000" i="1"/>
  <c r="B7000" i="1"/>
  <c r="A7001" i="1"/>
  <c r="B7001" i="1"/>
  <c r="A7002" i="1"/>
  <c r="B7002" i="1"/>
  <c r="A7003" i="1"/>
  <c r="B7003" i="1"/>
  <c r="A7004" i="1"/>
  <c r="B7004" i="1"/>
  <c r="A7005" i="1"/>
  <c r="B7005" i="1"/>
  <c r="A7006" i="1"/>
  <c r="B7006" i="1"/>
  <c r="A7007" i="1"/>
  <c r="B7007" i="1"/>
  <c r="A7008" i="1"/>
  <c r="B7008" i="1"/>
  <c r="A7009" i="1"/>
  <c r="A7010" i="1"/>
  <c r="B7010" i="1"/>
  <c r="A7011" i="1"/>
  <c r="B7011" i="1"/>
  <c r="A7012" i="1"/>
  <c r="B7012" i="1"/>
  <c r="A7013" i="1"/>
  <c r="B7013" i="1"/>
  <c r="A7014" i="1"/>
  <c r="B7014" i="1"/>
  <c r="A7015" i="1"/>
  <c r="B7015" i="1"/>
  <c r="A7016" i="1"/>
  <c r="B7016" i="1"/>
  <c r="A7017" i="1"/>
  <c r="B7017" i="1"/>
  <c r="A7018" i="1"/>
  <c r="B7018" i="1"/>
  <c r="A7019" i="1"/>
  <c r="B7019" i="1"/>
  <c r="A7020" i="1"/>
  <c r="B7020" i="1"/>
  <c r="A7021" i="1"/>
  <c r="A7022" i="1"/>
  <c r="A7023" i="1"/>
  <c r="B7023" i="1"/>
  <c r="A7024" i="1"/>
  <c r="B7024" i="1"/>
  <c r="A7025" i="1"/>
  <c r="B7025" i="1"/>
  <c r="A7026" i="1"/>
  <c r="A7027" i="1"/>
  <c r="B7027" i="1"/>
  <c r="A7028" i="1"/>
  <c r="B7028" i="1"/>
  <c r="A7029" i="1"/>
  <c r="B7029" i="1"/>
  <c r="A7030" i="1"/>
  <c r="A7031" i="1"/>
  <c r="B7031" i="1"/>
  <c r="A7032" i="1"/>
  <c r="A7033" i="1"/>
  <c r="B7033" i="1"/>
  <c r="A7034" i="1"/>
  <c r="B7034" i="1"/>
  <c r="A7035" i="1"/>
  <c r="B7035" i="1"/>
  <c r="A7036" i="1"/>
  <c r="B7036" i="1"/>
  <c r="A7037" i="1"/>
  <c r="B7037" i="1"/>
  <c r="A7038" i="1"/>
  <c r="A7039" i="1"/>
  <c r="B7039" i="1"/>
  <c r="A7040" i="1"/>
  <c r="A7041" i="1"/>
  <c r="B7041" i="1"/>
  <c r="A7042" i="1"/>
  <c r="B7042" i="1"/>
  <c r="A7043" i="1"/>
  <c r="A7044" i="1"/>
  <c r="B7044" i="1"/>
  <c r="A7045" i="1"/>
  <c r="B7045" i="1"/>
  <c r="A7046" i="1"/>
  <c r="B7046" i="1"/>
  <c r="A7047" i="1"/>
  <c r="B7047" i="1"/>
  <c r="A7048" i="1"/>
  <c r="A7049" i="1"/>
  <c r="B7049" i="1"/>
  <c r="A7050" i="1"/>
  <c r="B7050" i="1"/>
  <c r="A7051" i="1"/>
  <c r="B7051" i="1"/>
  <c r="A7052" i="1"/>
  <c r="B7052" i="1"/>
  <c r="A7053" i="1"/>
  <c r="B7053" i="1"/>
  <c r="A7054" i="1"/>
  <c r="B7054" i="1"/>
  <c r="A7055" i="1"/>
  <c r="B7055" i="1"/>
  <c r="A7056" i="1"/>
  <c r="B7056" i="1"/>
  <c r="A7057" i="1"/>
  <c r="B7057" i="1"/>
  <c r="A7058" i="1"/>
  <c r="B7058" i="1"/>
  <c r="A7059" i="1"/>
  <c r="B7059" i="1"/>
  <c r="A7060" i="1"/>
  <c r="B7060" i="1"/>
  <c r="A7061" i="1"/>
  <c r="B7061" i="1"/>
  <c r="A7062" i="1"/>
  <c r="B7062" i="1"/>
  <c r="A7063" i="1"/>
  <c r="B7063" i="1"/>
  <c r="A7064" i="1"/>
  <c r="A7065" i="1"/>
  <c r="B7065" i="1"/>
  <c r="A7066" i="1"/>
  <c r="A7067" i="1"/>
  <c r="B7067" i="1"/>
  <c r="A7068" i="1"/>
  <c r="B7068" i="1"/>
  <c r="A7069" i="1"/>
  <c r="B7069" i="1"/>
  <c r="A7070" i="1"/>
  <c r="A7071" i="1"/>
  <c r="A7072" i="1"/>
  <c r="B7072" i="1"/>
  <c r="A7073" i="1"/>
  <c r="B7073" i="1"/>
  <c r="A7074" i="1"/>
  <c r="B7074" i="1"/>
  <c r="A7075" i="1"/>
  <c r="B7075" i="1"/>
  <c r="A7076" i="1"/>
  <c r="B7076" i="1"/>
  <c r="A7077" i="1"/>
  <c r="A7078" i="1"/>
  <c r="B7078" i="1"/>
  <c r="A7079" i="1"/>
  <c r="A7080" i="1"/>
  <c r="A7081" i="1"/>
  <c r="B7081" i="1"/>
  <c r="A7082" i="1"/>
  <c r="A7083" i="1"/>
  <c r="B7083" i="1"/>
  <c r="A7084" i="1"/>
  <c r="B7084" i="1"/>
  <c r="A7085" i="1"/>
  <c r="B7085" i="1"/>
  <c r="A7086" i="1"/>
  <c r="B7086" i="1"/>
  <c r="A7087" i="1"/>
  <c r="B7087" i="1"/>
  <c r="A7088" i="1"/>
  <c r="A7089" i="1"/>
  <c r="A7090" i="1"/>
  <c r="A7091" i="1"/>
  <c r="A7092" i="1"/>
  <c r="B7092" i="1"/>
  <c r="A7093" i="1"/>
  <c r="A7094" i="1"/>
  <c r="B7094" i="1"/>
  <c r="A7095" i="1"/>
  <c r="A7096" i="1"/>
  <c r="B7096" i="1"/>
  <c r="A7097" i="1"/>
  <c r="A7098" i="1"/>
  <c r="B7098" i="1"/>
  <c r="A7099" i="1"/>
  <c r="B7099" i="1"/>
  <c r="A7100" i="1"/>
  <c r="B7100" i="1"/>
  <c r="A7101" i="1"/>
  <c r="A7102" i="1"/>
  <c r="A7103" i="1"/>
  <c r="B7103" i="1"/>
  <c r="A7104" i="1"/>
  <c r="B7104" i="1"/>
  <c r="A7105" i="1"/>
  <c r="A7106" i="1"/>
  <c r="A7107" i="1"/>
  <c r="A7108" i="1"/>
  <c r="A7109" i="1"/>
  <c r="B7109" i="1"/>
  <c r="A7110" i="1"/>
  <c r="B7110" i="1"/>
  <c r="A7111" i="1"/>
  <c r="A7112" i="1"/>
  <c r="B7112" i="1"/>
  <c r="A7113" i="1"/>
  <c r="B7113" i="1"/>
  <c r="A7114" i="1"/>
  <c r="B7114" i="1"/>
  <c r="A7115" i="1"/>
  <c r="B7115" i="1"/>
  <c r="A7116" i="1"/>
  <c r="B7116" i="1"/>
  <c r="A7117" i="1"/>
  <c r="B7117" i="1"/>
  <c r="A7118" i="1"/>
  <c r="B7118" i="1"/>
  <c r="A7119" i="1"/>
  <c r="B7119" i="1"/>
  <c r="A7120" i="1"/>
  <c r="A7121" i="1"/>
  <c r="B7121" i="1"/>
  <c r="A7122" i="1"/>
  <c r="B7122" i="1"/>
  <c r="A7123" i="1"/>
  <c r="B7123" i="1"/>
  <c r="A7124" i="1"/>
  <c r="B7124" i="1"/>
  <c r="A7125" i="1"/>
  <c r="A7126" i="1"/>
  <c r="A7127" i="1"/>
  <c r="A7128" i="1"/>
  <c r="B7128" i="1"/>
  <c r="A7129" i="1"/>
  <c r="B7129" i="1"/>
  <c r="A7130" i="1"/>
  <c r="A7131" i="1"/>
  <c r="A7132" i="1"/>
  <c r="A7133" i="1"/>
  <c r="B7133" i="1"/>
  <c r="A7134" i="1"/>
  <c r="B7134" i="1"/>
  <c r="A7135" i="1"/>
  <c r="B7135" i="1"/>
  <c r="A7136" i="1"/>
  <c r="A7137" i="1"/>
  <c r="B7137" i="1"/>
  <c r="A7138" i="1"/>
  <c r="A7139" i="1"/>
  <c r="B7139" i="1"/>
  <c r="A7140" i="1"/>
  <c r="A7141" i="1"/>
  <c r="A7142" i="1"/>
  <c r="B7142" i="1"/>
  <c r="A7143" i="1"/>
  <c r="B7143" i="1"/>
  <c r="A7144" i="1"/>
  <c r="B7144" i="1"/>
  <c r="A7145" i="1"/>
  <c r="B7145" i="1"/>
  <c r="A7146" i="1"/>
  <c r="A7147" i="1"/>
  <c r="B7147" i="1"/>
  <c r="A7148" i="1"/>
  <c r="A7149" i="1"/>
  <c r="B7149" i="1"/>
  <c r="A7150" i="1"/>
  <c r="A7151" i="1"/>
  <c r="B7151" i="1"/>
  <c r="A7152" i="1"/>
  <c r="B7152" i="1"/>
  <c r="A7153" i="1"/>
  <c r="A7154" i="1"/>
  <c r="A7155" i="1"/>
  <c r="A7156" i="1"/>
  <c r="A7157" i="1"/>
  <c r="A7158" i="1"/>
  <c r="A7159" i="1"/>
  <c r="B7159" i="1"/>
  <c r="A7160" i="1"/>
  <c r="B7160" i="1"/>
  <c r="A7161" i="1"/>
  <c r="B7161" i="1"/>
  <c r="A7162" i="1"/>
  <c r="B7162" i="1"/>
  <c r="A7163" i="1"/>
  <c r="B7163" i="1"/>
  <c r="A7164" i="1"/>
  <c r="B7164" i="1"/>
  <c r="A7165" i="1"/>
  <c r="B7165" i="1"/>
  <c r="A7166" i="1"/>
  <c r="A7167" i="1"/>
  <c r="B7167" i="1"/>
  <c r="A7168" i="1"/>
  <c r="B7168" i="1"/>
  <c r="A7169" i="1"/>
  <c r="B7169" i="1"/>
  <c r="A7170" i="1"/>
  <c r="B7170" i="1"/>
  <c r="A7171" i="1"/>
  <c r="A7172" i="1"/>
  <c r="A7173" i="1"/>
  <c r="B7173" i="1"/>
  <c r="A7174" i="1"/>
  <c r="B7174" i="1"/>
  <c r="A7175" i="1"/>
  <c r="B7175" i="1"/>
  <c r="A7176" i="1"/>
  <c r="B7176" i="1"/>
  <c r="A7177" i="1"/>
  <c r="B7177" i="1"/>
  <c r="A7178" i="1"/>
  <c r="B7178" i="1"/>
  <c r="A7179" i="1"/>
  <c r="A7180" i="1"/>
  <c r="B7180" i="1"/>
  <c r="A7181" i="1"/>
  <c r="A7182" i="1"/>
  <c r="B7182" i="1"/>
  <c r="A7183" i="1"/>
  <c r="A7184" i="1"/>
  <c r="A7185" i="1"/>
  <c r="B7185" i="1"/>
  <c r="A7186" i="1"/>
  <c r="B7186" i="1"/>
  <c r="A7187" i="1"/>
  <c r="B7187" i="1"/>
  <c r="A7188" i="1"/>
  <c r="B7188" i="1"/>
  <c r="A7189" i="1"/>
  <c r="A7190" i="1"/>
  <c r="B7190" i="1"/>
  <c r="A7191" i="1"/>
  <c r="B7191" i="1"/>
  <c r="A7192" i="1"/>
  <c r="B7192" i="1"/>
  <c r="A7193" i="1"/>
  <c r="B7193" i="1"/>
  <c r="A7194" i="1"/>
  <c r="B7194" i="1"/>
  <c r="A7195" i="1"/>
  <c r="A7196" i="1"/>
  <c r="A7197" i="1"/>
  <c r="B7197" i="1"/>
  <c r="A7198" i="1"/>
  <c r="B7198" i="1"/>
  <c r="A7199" i="1"/>
  <c r="B7199" i="1"/>
  <c r="A7200" i="1"/>
  <c r="B7200" i="1"/>
  <c r="A7201" i="1"/>
  <c r="B7201" i="1"/>
  <c r="A7202" i="1"/>
  <c r="B7202" i="1"/>
  <c r="A7203" i="1"/>
  <c r="B7203" i="1"/>
  <c r="A7204" i="1"/>
  <c r="B7204" i="1"/>
  <c r="A7205" i="1"/>
  <c r="B7205" i="1"/>
  <c r="A7206" i="1"/>
  <c r="B7206" i="1"/>
  <c r="A7207" i="1"/>
  <c r="B7207" i="1"/>
  <c r="A7208" i="1"/>
  <c r="B7208" i="1"/>
  <c r="A7209" i="1"/>
  <c r="B7209" i="1"/>
  <c r="A7210" i="1"/>
  <c r="B7210" i="1"/>
  <c r="A7211" i="1"/>
  <c r="B7211" i="1"/>
  <c r="A7212" i="1"/>
  <c r="B7212" i="1"/>
  <c r="A7213" i="1"/>
  <c r="B7213" i="1"/>
  <c r="A7214" i="1"/>
  <c r="B7214" i="1"/>
  <c r="A7215" i="1"/>
  <c r="B7215" i="1"/>
  <c r="A7216" i="1"/>
  <c r="A7217" i="1"/>
  <c r="B7217" i="1"/>
  <c r="A7218" i="1"/>
  <c r="B7218" i="1"/>
  <c r="A7219" i="1"/>
  <c r="B7219" i="1"/>
  <c r="A7220" i="1"/>
  <c r="B7220" i="1"/>
  <c r="A7221" i="1"/>
  <c r="B7221" i="1"/>
  <c r="A7222" i="1"/>
  <c r="B7222" i="1"/>
  <c r="A7223" i="1"/>
  <c r="B7223" i="1"/>
  <c r="A7224" i="1"/>
  <c r="B7224" i="1"/>
  <c r="A7225" i="1"/>
  <c r="A7226" i="1"/>
  <c r="B7226" i="1"/>
  <c r="A7227" i="1"/>
  <c r="A7228" i="1"/>
  <c r="B7228" i="1"/>
  <c r="A7229" i="1"/>
  <c r="B7229" i="1"/>
  <c r="A7230" i="1"/>
  <c r="B7230" i="1"/>
  <c r="A7231" i="1"/>
  <c r="B7231" i="1"/>
  <c r="A7232" i="1"/>
  <c r="B7232" i="1"/>
  <c r="A7233" i="1"/>
  <c r="B7233" i="1"/>
  <c r="A7234" i="1"/>
  <c r="B7234" i="1"/>
  <c r="A7235" i="1"/>
  <c r="A7236" i="1"/>
  <c r="B7236" i="1"/>
  <c r="A7237" i="1"/>
  <c r="B7237" i="1"/>
  <c r="A7238" i="1"/>
  <c r="A7239" i="1"/>
  <c r="B7239" i="1"/>
  <c r="A7240" i="1"/>
  <c r="B7240" i="1"/>
  <c r="A7241" i="1"/>
  <c r="A7242" i="1"/>
  <c r="B7242" i="1"/>
  <c r="A7243" i="1"/>
  <c r="B7243" i="1"/>
  <c r="A7244" i="1"/>
  <c r="B7244" i="1"/>
  <c r="A7245" i="1"/>
  <c r="B7245" i="1"/>
  <c r="A7246" i="1"/>
  <c r="A7247" i="1"/>
  <c r="B7247" i="1"/>
  <c r="A7248" i="1"/>
  <c r="B7248" i="1"/>
  <c r="A7249" i="1"/>
  <c r="B7249" i="1"/>
  <c r="A7250" i="1"/>
  <c r="B7250" i="1"/>
  <c r="A7251" i="1"/>
  <c r="B7251" i="1"/>
  <c r="A7252" i="1"/>
  <c r="B7252" i="1"/>
  <c r="A7253" i="1"/>
  <c r="A7254" i="1"/>
  <c r="A7255" i="1"/>
  <c r="B7255" i="1"/>
  <c r="A7256" i="1"/>
  <c r="B7256" i="1"/>
  <c r="A7257" i="1"/>
  <c r="B7257" i="1"/>
  <c r="A7258" i="1"/>
  <c r="B7258" i="1"/>
  <c r="A7259" i="1"/>
  <c r="B7259" i="1"/>
  <c r="A7260" i="1"/>
  <c r="B7260" i="1"/>
  <c r="A7261" i="1"/>
  <c r="B7261" i="1"/>
  <c r="A7262" i="1"/>
  <c r="B7262" i="1"/>
  <c r="A7263" i="1"/>
  <c r="B7263" i="1"/>
  <c r="A7264" i="1"/>
  <c r="B7264" i="1"/>
  <c r="A7265" i="1"/>
  <c r="B7265" i="1"/>
  <c r="A7266" i="1"/>
  <c r="B7266" i="1"/>
  <c r="A7267" i="1"/>
  <c r="B7267" i="1"/>
  <c r="A7268" i="1"/>
  <c r="B7268" i="1"/>
  <c r="A7269" i="1"/>
  <c r="B7269" i="1"/>
  <c r="A7270" i="1"/>
  <c r="B7270" i="1"/>
  <c r="A7271" i="1"/>
  <c r="B7271" i="1"/>
  <c r="A7272" i="1"/>
  <c r="B7272" i="1"/>
  <c r="A7273" i="1"/>
  <c r="B7273" i="1"/>
  <c r="A7274" i="1"/>
  <c r="B7274" i="1"/>
  <c r="A7275" i="1"/>
  <c r="B7275" i="1"/>
  <c r="A7276" i="1"/>
  <c r="B7276" i="1"/>
  <c r="A7277" i="1"/>
  <c r="A7278" i="1"/>
  <c r="B7278" i="1"/>
  <c r="A7279" i="1"/>
  <c r="B7279" i="1"/>
  <c r="A7280" i="1"/>
  <c r="B7280" i="1"/>
  <c r="A7281" i="1"/>
  <c r="B7281" i="1"/>
  <c r="A7282" i="1"/>
  <c r="B7282" i="1"/>
  <c r="A7283" i="1"/>
  <c r="B7283" i="1"/>
  <c r="A7284" i="1"/>
  <c r="B7284" i="1"/>
  <c r="A7285" i="1"/>
  <c r="A7286" i="1"/>
  <c r="A7287" i="1"/>
  <c r="A7288" i="1"/>
  <c r="B7288" i="1"/>
  <c r="A7289" i="1"/>
  <c r="B7289" i="1"/>
  <c r="A7290" i="1"/>
  <c r="B7290" i="1"/>
  <c r="A7291" i="1"/>
  <c r="B7291" i="1"/>
  <c r="A7292" i="1"/>
  <c r="B7292" i="1"/>
  <c r="A7293" i="1"/>
  <c r="B7293" i="1"/>
  <c r="A7294" i="1"/>
  <c r="B7294" i="1"/>
  <c r="A7295" i="1"/>
  <c r="B7295" i="1"/>
  <c r="A7296" i="1"/>
  <c r="A7297" i="1"/>
  <c r="B7297" i="1"/>
  <c r="A7298" i="1"/>
  <c r="A7299" i="1"/>
  <c r="B7299" i="1"/>
  <c r="A7300" i="1"/>
  <c r="B7300" i="1"/>
  <c r="A7301" i="1"/>
  <c r="B7301" i="1"/>
  <c r="A7302" i="1"/>
  <c r="B7302" i="1"/>
  <c r="A7303" i="1"/>
  <c r="B7303" i="1"/>
  <c r="A7304" i="1"/>
  <c r="A7305" i="1"/>
  <c r="B7305" i="1"/>
  <c r="A7306" i="1"/>
  <c r="B7306" i="1"/>
  <c r="A7307" i="1"/>
  <c r="B7307" i="1"/>
  <c r="A7308" i="1"/>
  <c r="B7308" i="1"/>
  <c r="A7309" i="1"/>
  <c r="B7309" i="1"/>
  <c r="A7310" i="1"/>
  <c r="B7310" i="1"/>
  <c r="A7311" i="1"/>
  <c r="A7312" i="1"/>
  <c r="A7313" i="1"/>
  <c r="B7313" i="1"/>
  <c r="A7314" i="1"/>
  <c r="B7314" i="1"/>
  <c r="A7315" i="1"/>
  <c r="B7315" i="1"/>
  <c r="A7316" i="1"/>
  <c r="B7316" i="1"/>
  <c r="A7317" i="1"/>
  <c r="A7318" i="1"/>
  <c r="A7319" i="1"/>
  <c r="B7319" i="1"/>
  <c r="A7320" i="1"/>
  <c r="B7320" i="1"/>
  <c r="A7321" i="1"/>
  <c r="A7322" i="1"/>
  <c r="B7322" i="1"/>
  <c r="A7323" i="1"/>
  <c r="B7323" i="1"/>
  <c r="A7324" i="1"/>
  <c r="B7324" i="1"/>
  <c r="A7325" i="1"/>
  <c r="B7325" i="1"/>
  <c r="A7326" i="1"/>
  <c r="B7326" i="1"/>
  <c r="A7327" i="1"/>
  <c r="B7327" i="1"/>
  <c r="A7328" i="1"/>
  <c r="A7329" i="1"/>
  <c r="B7329" i="1"/>
  <c r="A7330" i="1"/>
  <c r="A7331" i="1"/>
  <c r="B7331" i="1"/>
  <c r="A7332" i="1"/>
  <c r="B7332" i="1"/>
  <c r="A7333" i="1"/>
  <c r="B7333" i="1"/>
  <c r="A7334" i="1"/>
  <c r="B7334" i="1"/>
  <c r="A7335" i="1"/>
  <c r="B7335" i="1"/>
  <c r="A7336" i="1"/>
  <c r="B7336" i="1"/>
  <c r="A7337" i="1"/>
  <c r="A7338" i="1"/>
  <c r="B7338" i="1"/>
  <c r="A7339" i="1"/>
  <c r="B7339" i="1"/>
  <c r="A7340" i="1"/>
  <c r="B7340" i="1"/>
  <c r="A7341" i="1"/>
  <c r="B7341" i="1"/>
  <c r="A7342" i="1"/>
  <c r="B7342" i="1"/>
  <c r="A7343" i="1"/>
  <c r="A7344" i="1"/>
  <c r="A7345" i="1"/>
  <c r="B7345" i="1"/>
  <c r="A7346" i="1"/>
  <c r="B7346" i="1"/>
  <c r="A7347" i="1"/>
  <c r="B7347" i="1"/>
  <c r="A7348" i="1"/>
  <c r="B7348" i="1"/>
  <c r="A7349" i="1"/>
  <c r="B7349" i="1"/>
  <c r="A7350" i="1"/>
  <c r="B7350" i="1"/>
  <c r="A7351" i="1"/>
  <c r="A7352" i="1"/>
  <c r="A7353" i="1"/>
  <c r="B7353" i="1"/>
  <c r="A7354" i="1"/>
  <c r="B7354" i="1"/>
  <c r="A7355" i="1"/>
  <c r="B7355" i="1"/>
  <c r="A7356" i="1"/>
  <c r="B7356" i="1"/>
  <c r="A7357" i="1"/>
  <c r="A7358" i="1"/>
  <c r="A7359" i="1"/>
  <c r="B7359" i="1"/>
  <c r="A7360" i="1"/>
  <c r="A7361" i="1"/>
  <c r="B7361" i="1"/>
  <c r="A7362" i="1"/>
  <c r="A7363" i="1"/>
  <c r="B7363" i="1"/>
  <c r="A7364" i="1"/>
  <c r="B7364" i="1"/>
  <c r="A7365" i="1"/>
  <c r="A7366" i="1"/>
  <c r="A7367" i="1"/>
  <c r="B7367" i="1"/>
  <c r="A7368" i="1"/>
  <c r="B7368" i="1"/>
  <c r="A7369" i="1"/>
  <c r="A7370" i="1"/>
  <c r="A7371" i="1"/>
  <c r="B7371" i="1"/>
  <c r="A7372" i="1"/>
  <c r="B7372" i="1"/>
  <c r="A7373" i="1"/>
  <c r="A7374" i="1"/>
  <c r="A7375" i="1"/>
  <c r="B7375" i="1"/>
  <c r="A7376" i="1"/>
  <c r="B7376" i="1"/>
  <c r="A7377" i="1"/>
  <c r="B7377" i="1"/>
  <c r="A7378" i="1"/>
  <c r="B7378" i="1"/>
  <c r="A7379" i="1"/>
  <c r="B7379" i="1"/>
  <c r="A7380" i="1"/>
  <c r="B7380" i="1"/>
  <c r="A7381" i="1"/>
  <c r="B7381" i="1"/>
  <c r="A7382" i="1"/>
  <c r="B7382" i="1"/>
  <c r="A7383" i="1"/>
  <c r="B7383" i="1"/>
  <c r="A7384" i="1"/>
  <c r="B7384" i="1"/>
  <c r="A7385" i="1"/>
  <c r="A7386" i="1"/>
  <c r="B7386" i="1"/>
  <c r="A7387" i="1"/>
  <c r="B7387" i="1"/>
  <c r="A7388" i="1"/>
  <c r="B7388" i="1"/>
  <c r="A7389" i="1"/>
  <c r="B7389" i="1"/>
  <c r="A7390" i="1"/>
  <c r="A7391" i="1"/>
  <c r="B7391" i="1"/>
  <c r="A7392" i="1"/>
  <c r="A7393" i="1"/>
  <c r="B7393" i="1"/>
  <c r="A7394" i="1"/>
  <c r="B7394" i="1"/>
  <c r="A7395" i="1"/>
  <c r="B7395" i="1"/>
  <c r="A7396" i="1"/>
  <c r="A7397" i="1"/>
  <c r="B7397" i="1"/>
  <c r="A7398" i="1"/>
  <c r="B7398" i="1"/>
  <c r="A7399" i="1"/>
  <c r="B7399" i="1"/>
  <c r="A7400" i="1"/>
  <c r="B7400" i="1"/>
  <c r="A7401" i="1"/>
  <c r="B7401" i="1"/>
  <c r="A7402" i="1"/>
  <c r="B7402" i="1"/>
  <c r="A7403" i="1"/>
  <c r="B7403" i="1"/>
  <c r="A7404" i="1"/>
  <c r="B7404" i="1"/>
  <c r="A7405" i="1"/>
  <c r="B7405" i="1"/>
  <c r="A7406" i="1"/>
  <c r="B7406" i="1"/>
  <c r="A7407" i="1"/>
  <c r="A7408" i="1"/>
  <c r="B7408" i="1"/>
  <c r="A7409" i="1"/>
  <c r="B7409" i="1"/>
  <c r="A7410" i="1"/>
  <c r="A7411" i="1"/>
  <c r="B7411" i="1"/>
  <c r="A7412" i="1"/>
  <c r="B7412" i="1"/>
  <c r="A7413" i="1"/>
  <c r="B7413" i="1"/>
  <c r="A7414" i="1"/>
  <c r="B7414" i="1"/>
  <c r="A7415" i="1"/>
  <c r="B7415" i="1"/>
  <c r="A7416" i="1"/>
  <c r="A7417" i="1"/>
  <c r="A7418" i="1"/>
  <c r="B7418" i="1"/>
  <c r="A7419" i="1"/>
  <c r="B7419" i="1"/>
  <c r="A7420" i="1"/>
  <c r="B7420" i="1"/>
  <c r="A7421" i="1"/>
  <c r="B7421" i="1"/>
  <c r="A7422" i="1"/>
  <c r="B7422" i="1"/>
  <c r="A7423" i="1"/>
  <c r="B7423" i="1"/>
  <c r="A7424" i="1"/>
  <c r="B7424" i="1"/>
  <c r="A7425" i="1"/>
  <c r="A7426" i="1"/>
  <c r="A7427" i="1"/>
  <c r="B7427" i="1"/>
  <c r="A7428" i="1"/>
  <c r="A7429" i="1"/>
  <c r="B7429" i="1"/>
  <c r="A7430" i="1"/>
  <c r="B7430" i="1"/>
  <c r="A7431" i="1"/>
  <c r="B7431" i="1"/>
  <c r="A7432" i="1"/>
  <c r="A7433" i="1"/>
  <c r="B7433" i="1"/>
  <c r="A7434" i="1"/>
  <c r="B7434" i="1"/>
  <c r="A7435" i="1"/>
  <c r="B7435" i="1"/>
  <c r="A7436" i="1"/>
  <c r="B7436" i="1"/>
  <c r="A7437" i="1"/>
  <c r="B7437" i="1"/>
  <c r="A7438" i="1"/>
  <c r="B7438" i="1"/>
  <c r="A7439" i="1"/>
  <c r="B7439" i="1"/>
  <c r="A7440" i="1"/>
  <c r="A7441" i="1"/>
  <c r="B7441" i="1"/>
  <c r="A7442" i="1"/>
  <c r="A7443" i="1"/>
  <c r="A7444" i="1"/>
  <c r="A7445" i="1"/>
  <c r="B7445" i="1"/>
  <c r="A7446" i="1"/>
  <c r="B7446" i="1"/>
  <c r="A7447" i="1"/>
  <c r="A7448" i="1"/>
  <c r="B7448" i="1"/>
  <c r="A7449" i="1"/>
  <c r="B7449" i="1"/>
  <c r="A7450" i="1"/>
  <c r="B7450" i="1"/>
  <c r="A7451" i="1"/>
  <c r="A7452" i="1"/>
  <c r="B7452" i="1"/>
  <c r="A7453" i="1"/>
  <c r="B7453" i="1"/>
  <c r="A7454" i="1"/>
  <c r="B7454" i="1"/>
  <c r="A7455" i="1"/>
  <c r="B7455" i="1"/>
  <c r="A7456" i="1"/>
  <c r="B7456" i="1"/>
  <c r="A7457" i="1"/>
  <c r="B7457" i="1"/>
  <c r="A7458" i="1"/>
  <c r="B7458" i="1"/>
  <c r="A7459" i="1"/>
  <c r="B7459" i="1"/>
  <c r="A7460" i="1"/>
  <c r="B7460" i="1"/>
  <c r="A7461" i="1"/>
  <c r="B7461" i="1"/>
  <c r="A7462" i="1"/>
  <c r="B7462" i="1"/>
  <c r="A7463" i="1"/>
  <c r="B7463" i="1"/>
  <c r="A7464" i="1"/>
  <c r="B7464" i="1"/>
  <c r="A7465" i="1"/>
  <c r="B7465" i="1"/>
  <c r="A7466" i="1"/>
  <c r="A7467" i="1"/>
  <c r="B7467" i="1"/>
  <c r="A7468" i="1"/>
  <c r="B7468" i="1"/>
  <c r="A7469" i="1"/>
  <c r="A7470" i="1"/>
  <c r="A7471" i="1"/>
  <c r="B7471" i="1"/>
  <c r="A7472" i="1"/>
  <c r="B7472" i="1"/>
  <c r="A7473" i="1"/>
  <c r="B7473" i="1"/>
  <c r="A7474" i="1"/>
  <c r="B7474" i="1"/>
  <c r="A7475" i="1"/>
  <c r="B7475" i="1"/>
  <c r="A7476" i="1"/>
  <c r="B7476" i="1"/>
  <c r="A7477" i="1"/>
  <c r="A7478" i="1"/>
  <c r="B7478" i="1"/>
  <c r="A7479" i="1"/>
  <c r="A7480" i="1"/>
  <c r="A7481" i="1"/>
  <c r="B7481" i="1"/>
  <c r="A7482" i="1"/>
  <c r="A7483" i="1"/>
  <c r="B7483" i="1"/>
  <c r="A7484" i="1"/>
  <c r="B7484" i="1"/>
  <c r="A7485" i="1"/>
  <c r="A7486" i="1"/>
  <c r="B7486" i="1"/>
  <c r="A7487" i="1"/>
  <c r="B7487" i="1"/>
  <c r="A7488" i="1"/>
  <c r="B7488" i="1"/>
  <c r="A7489" i="1"/>
  <c r="B7489" i="1"/>
  <c r="A7490" i="1"/>
  <c r="A7491" i="1"/>
  <c r="A7492" i="1"/>
  <c r="B7492" i="1"/>
  <c r="A7493" i="1"/>
  <c r="B7493" i="1"/>
  <c r="A7494" i="1"/>
  <c r="B7494" i="1"/>
  <c r="A7495" i="1"/>
  <c r="B7495" i="1"/>
  <c r="A7496" i="1"/>
  <c r="B7496" i="1"/>
  <c r="A7497" i="1"/>
  <c r="B7497" i="1"/>
  <c r="A7498" i="1"/>
  <c r="B7498" i="1"/>
  <c r="A7499" i="1"/>
  <c r="B7499" i="1"/>
  <c r="A7500" i="1"/>
  <c r="A7501" i="1"/>
  <c r="B7501" i="1"/>
  <c r="A7502" i="1"/>
  <c r="B7502" i="1"/>
  <c r="A7503" i="1"/>
  <c r="B7503" i="1"/>
  <c r="A7504" i="1"/>
  <c r="B7504" i="1"/>
  <c r="A7505" i="1"/>
  <c r="B7505" i="1"/>
  <c r="A7506" i="1"/>
  <c r="B7506" i="1"/>
  <c r="A7507" i="1"/>
  <c r="B7507" i="1"/>
  <c r="A7508" i="1"/>
  <c r="B7508" i="1"/>
  <c r="A7509" i="1"/>
  <c r="B7509" i="1"/>
  <c r="A7510" i="1"/>
  <c r="B7510" i="1"/>
  <c r="A7511" i="1"/>
  <c r="B7511" i="1"/>
  <c r="A7512" i="1"/>
  <c r="B7512" i="1"/>
  <c r="A7513" i="1"/>
  <c r="B7513" i="1"/>
  <c r="A7514" i="1"/>
  <c r="B7514" i="1"/>
  <c r="A7515" i="1"/>
  <c r="B7515" i="1"/>
  <c r="A7516" i="1"/>
  <c r="A7517" i="1"/>
  <c r="B7517" i="1"/>
  <c r="A7518" i="1"/>
  <c r="B7518" i="1"/>
  <c r="A7519" i="1"/>
  <c r="B7519" i="1"/>
  <c r="A7520" i="1"/>
  <c r="B7520" i="1"/>
  <c r="A7521" i="1"/>
  <c r="B7521" i="1"/>
  <c r="A7522" i="1"/>
  <c r="B7522" i="1"/>
  <c r="A7523" i="1"/>
  <c r="B7523" i="1"/>
  <c r="A7524" i="1"/>
  <c r="B7524" i="1"/>
  <c r="A7525" i="1"/>
  <c r="A7526" i="1"/>
  <c r="B7526" i="1"/>
  <c r="A7527" i="1"/>
  <c r="A7528" i="1"/>
  <c r="B7528" i="1"/>
  <c r="A7529" i="1"/>
  <c r="B7529" i="1"/>
  <c r="A7530" i="1"/>
  <c r="B7530" i="1"/>
  <c r="A7531" i="1"/>
  <c r="B7531" i="1"/>
  <c r="A7532" i="1"/>
  <c r="B7532" i="1"/>
  <c r="A7533" i="1"/>
  <c r="A7534" i="1"/>
  <c r="B7534" i="1"/>
  <c r="A7535" i="1"/>
  <c r="A7536" i="1"/>
  <c r="B7536" i="1"/>
  <c r="A7537" i="1"/>
  <c r="A7538" i="1"/>
  <c r="A7539" i="1"/>
  <c r="A7540" i="1"/>
  <c r="A7541" i="1"/>
  <c r="A7542" i="1"/>
  <c r="A7543" i="1"/>
  <c r="B7543" i="1"/>
  <c r="A7544" i="1"/>
  <c r="B7544" i="1"/>
  <c r="A7545" i="1"/>
  <c r="B7545" i="1"/>
  <c r="A7546" i="1"/>
  <c r="B7546" i="1"/>
  <c r="A7547" i="1"/>
  <c r="B7547" i="1"/>
  <c r="A7548" i="1"/>
  <c r="B7548" i="1"/>
  <c r="A7549" i="1"/>
  <c r="A7550" i="1"/>
  <c r="B7550" i="1"/>
  <c r="A7551" i="1"/>
  <c r="B7551" i="1"/>
  <c r="A7552" i="1"/>
  <c r="B7552" i="1"/>
  <c r="A7553" i="1"/>
  <c r="B7553" i="1"/>
  <c r="A7554" i="1"/>
  <c r="B7554" i="1"/>
  <c r="A7555" i="1"/>
  <c r="B7555" i="1"/>
  <c r="A7556" i="1"/>
  <c r="B7556" i="1"/>
  <c r="A7557" i="1"/>
  <c r="B7557" i="1"/>
  <c r="A7558" i="1"/>
  <c r="B7558" i="1"/>
  <c r="A7559" i="1"/>
  <c r="B7559" i="1"/>
  <c r="A7560" i="1"/>
  <c r="B7560" i="1"/>
  <c r="A7561" i="1"/>
  <c r="B7561" i="1"/>
  <c r="A7562" i="1"/>
  <c r="B7562" i="1"/>
  <c r="A7563" i="1"/>
  <c r="B7563" i="1"/>
  <c r="A7564" i="1"/>
  <c r="B7564" i="1"/>
  <c r="A7565" i="1"/>
  <c r="B7565" i="1"/>
  <c r="A7566" i="1"/>
  <c r="B7566" i="1"/>
  <c r="A7567" i="1"/>
  <c r="B7567" i="1"/>
  <c r="A7568" i="1"/>
  <c r="A7569" i="1"/>
  <c r="A7570" i="1"/>
  <c r="B7570" i="1"/>
  <c r="A7571" i="1"/>
  <c r="B7571" i="1"/>
  <c r="A7572" i="1"/>
  <c r="B7572" i="1"/>
  <c r="A7573" i="1"/>
  <c r="B7573" i="1"/>
  <c r="A7574" i="1"/>
  <c r="B7574" i="1"/>
  <c r="A7575" i="1"/>
  <c r="B7575" i="1"/>
  <c r="A7576" i="1"/>
  <c r="B7576" i="1"/>
  <c r="A7577" i="1"/>
  <c r="B7577" i="1"/>
  <c r="A7578" i="1"/>
  <c r="A7579" i="1"/>
  <c r="B7579" i="1"/>
  <c r="A7580" i="1"/>
  <c r="B7580" i="1"/>
  <c r="A7581" i="1"/>
  <c r="B7581" i="1"/>
  <c r="A7582" i="1"/>
  <c r="A7583" i="1"/>
  <c r="A7584" i="1"/>
  <c r="B7584" i="1"/>
  <c r="A7585" i="1"/>
  <c r="B7585" i="1"/>
  <c r="A7586" i="1"/>
  <c r="A7587" i="1"/>
  <c r="B7587" i="1"/>
  <c r="A7588" i="1"/>
  <c r="B7588" i="1"/>
  <c r="A7589" i="1"/>
  <c r="B7589" i="1"/>
  <c r="A7590" i="1"/>
  <c r="B7590" i="1"/>
  <c r="A7591" i="1"/>
  <c r="B7591" i="1"/>
  <c r="A7592" i="1"/>
  <c r="B7592" i="1"/>
  <c r="A7593" i="1"/>
  <c r="B7593" i="1"/>
  <c r="A7594" i="1"/>
  <c r="B7594" i="1"/>
  <c r="A7595" i="1"/>
  <c r="B7595" i="1"/>
  <c r="A7596" i="1"/>
  <c r="B7596" i="1"/>
  <c r="A7597" i="1"/>
  <c r="B7597" i="1"/>
  <c r="A7598" i="1"/>
  <c r="B7598" i="1"/>
  <c r="A7599" i="1"/>
  <c r="B7599" i="1"/>
  <c r="A7600" i="1"/>
  <c r="A7601" i="1"/>
  <c r="B7601" i="1"/>
  <c r="A7602" i="1"/>
  <c r="B7602" i="1"/>
  <c r="A7603" i="1"/>
  <c r="B7603" i="1"/>
  <c r="A7604" i="1"/>
  <c r="B7604" i="1"/>
  <c r="A7605" i="1"/>
  <c r="A7606" i="1"/>
  <c r="B7606" i="1"/>
  <c r="A7607" i="1"/>
  <c r="B7607" i="1"/>
  <c r="A7608" i="1"/>
  <c r="B7608" i="1"/>
  <c r="A7609" i="1"/>
  <c r="B7609" i="1"/>
  <c r="A7610" i="1"/>
  <c r="B7610" i="1"/>
  <c r="A7611" i="1"/>
  <c r="B7611" i="1"/>
  <c r="A7612" i="1"/>
  <c r="B7612" i="1"/>
  <c r="A7613" i="1"/>
  <c r="B7613" i="1"/>
  <c r="A7614" i="1"/>
  <c r="B7614" i="1"/>
  <c r="A7615" i="1"/>
  <c r="B7615" i="1"/>
  <c r="A7616" i="1"/>
  <c r="B7616" i="1"/>
  <c r="A7617" i="1"/>
  <c r="B7617" i="1"/>
  <c r="A7618" i="1"/>
  <c r="B7618" i="1"/>
  <c r="A7619" i="1"/>
  <c r="B7619" i="1"/>
  <c r="A7620" i="1"/>
  <c r="B7620" i="1"/>
  <c r="A7621" i="1"/>
  <c r="B7621" i="1"/>
  <c r="A7622" i="1"/>
  <c r="A7623" i="1"/>
  <c r="B7623" i="1"/>
  <c r="A7624" i="1"/>
  <c r="B7624" i="1"/>
  <c r="A7625" i="1"/>
  <c r="B7625" i="1"/>
  <c r="A7626" i="1"/>
  <c r="B7626" i="1"/>
  <c r="A7627" i="1"/>
  <c r="B7627" i="1"/>
  <c r="A7628" i="1"/>
  <c r="B7628" i="1"/>
  <c r="A7629" i="1"/>
  <c r="B7629" i="1"/>
  <c r="A7630" i="1"/>
  <c r="B7630" i="1"/>
  <c r="A7631" i="1"/>
  <c r="B7631" i="1"/>
  <c r="A7632" i="1"/>
  <c r="B7632" i="1"/>
  <c r="A7633" i="1"/>
  <c r="B7633" i="1"/>
  <c r="A7634" i="1"/>
  <c r="A7635" i="1"/>
  <c r="B7635" i="1"/>
  <c r="A7636" i="1"/>
  <c r="B7636" i="1"/>
  <c r="A7637" i="1"/>
  <c r="B7637" i="1"/>
  <c r="A7638" i="1"/>
  <c r="B7638" i="1"/>
  <c r="A7639" i="1"/>
  <c r="B7639" i="1"/>
  <c r="A7640" i="1"/>
  <c r="B7640" i="1"/>
  <c r="A7641" i="1"/>
  <c r="B7641" i="1"/>
  <c r="A7642" i="1"/>
  <c r="B7642" i="1"/>
  <c r="A7643" i="1"/>
  <c r="B7643" i="1"/>
  <c r="A7644" i="1"/>
  <c r="B7644" i="1"/>
  <c r="A7645" i="1"/>
  <c r="A7646" i="1"/>
  <c r="B7646" i="1"/>
  <c r="A7647" i="1"/>
  <c r="B7647" i="1"/>
  <c r="A7648" i="1"/>
  <c r="B7648" i="1"/>
  <c r="A7649" i="1"/>
  <c r="A7650" i="1"/>
  <c r="B7650" i="1"/>
  <c r="A7651" i="1"/>
  <c r="A7652" i="1"/>
  <c r="A7653" i="1"/>
  <c r="B7653" i="1"/>
  <c r="A7654" i="1"/>
  <c r="B7654" i="1"/>
  <c r="A7655" i="1"/>
  <c r="B7655" i="1"/>
  <c r="A7656" i="1"/>
  <c r="B7656" i="1"/>
  <c r="A7657" i="1"/>
  <c r="B7657" i="1"/>
  <c r="A7658" i="1"/>
  <c r="B7658" i="1"/>
  <c r="A7659" i="1"/>
  <c r="B7659" i="1"/>
  <c r="A7660" i="1"/>
  <c r="B7660" i="1"/>
  <c r="A7661" i="1"/>
  <c r="A7662" i="1"/>
  <c r="B7662" i="1"/>
  <c r="A7663" i="1"/>
  <c r="B7663" i="1"/>
  <c r="A7664" i="1"/>
  <c r="B7664" i="1"/>
  <c r="A7665" i="1"/>
  <c r="B7665" i="1"/>
  <c r="A7666" i="1"/>
  <c r="B7666" i="1"/>
  <c r="A7667" i="1"/>
  <c r="A7668" i="1"/>
  <c r="A7669" i="1"/>
  <c r="B7669" i="1"/>
  <c r="A7670" i="1"/>
  <c r="A7671" i="1"/>
  <c r="A7672" i="1"/>
  <c r="B7672" i="1"/>
  <c r="A7673" i="1"/>
  <c r="B7673" i="1"/>
  <c r="A7674" i="1"/>
  <c r="B7674" i="1"/>
  <c r="A7675" i="1"/>
  <c r="B7675" i="1"/>
  <c r="A7676" i="1"/>
  <c r="A7677" i="1"/>
  <c r="B7677" i="1"/>
  <c r="A7678" i="1"/>
  <c r="B7678" i="1"/>
  <c r="A7679" i="1"/>
  <c r="A7680" i="1"/>
  <c r="B7680" i="1"/>
  <c r="A7681" i="1"/>
  <c r="B7681" i="1"/>
  <c r="A7682" i="1"/>
  <c r="B7682" i="1"/>
  <c r="A7683" i="1"/>
  <c r="B7683" i="1"/>
  <c r="A7684" i="1"/>
  <c r="B7684" i="1"/>
  <c r="A7685" i="1"/>
  <c r="B7685" i="1"/>
  <c r="A7686" i="1"/>
  <c r="B7686" i="1"/>
  <c r="A7687" i="1"/>
  <c r="B7687" i="1"/>
  <c r="A7688" i="1"/>
  <c r="B7688" i="1"/>
  <c r="A7689" i="1"/>
  <c r="B7689" i="1"/>
  <c r="A7690" i="1"/>
  <c r="B7690" i="1"/>
  <c r="A7691" i="1"/>
  <c r="A7692" i="1"/>
  <c r="A7693" i="1"/>
  <c r="B7693" i="1"/>
  <c r="A7694" i="1"/>
  <c r="B7694" i="1"/>
  <c r="A7695" i="1"/>
  <c r="B7695" i="1"/>
  <c r="A7696" i="1"/>
  <c r="B7696" i="1"/>
  <c r="A7697" i="1"/>
  <c r="B7697" i="1"/>
  <c r="A7698" i="1"/>
  <c r="B7698" i="1"/>
  <c r="A7699" i="1"/>
  <c r="A7700" i="1"/>
  <c r="A7701" i="1"/>
  <c r="B7701" i="1"/>
  <c r="A7702" i="1"/>
  <c r="A7703" i="1"/>
  <c r="B7703" i="1"/>
  <c r="A7704" i="1"/>
  <c r="B7704" i="1"/>
  <c r="A7705" i="1"/>
  <c r="B7705" i="1"/>
  <c r="A7706" i="1"/>
  <c r="B7706" i="1"/>
  <c r="A7707" i="1"/>
  <c r="B7707" i="1"/>
  <c r="A7708" i="1"/>
  <c r="B7708" i="1"/>
  <c r="A7709" i="1"/>
  <c r="B7709" i="1"/>
  <c r="A7710" i="1"/>
  <c r="B7710" i="1"/>
  <c r="A7711" i="1"/>
  <c r="B7711" i="1"/>
  <c r="A7712" i="1"/>
  <c r="B7712" i="1"/>
  <c r="A7713" i="1"/>
  <c r="B7713" i="1"/>
  <c r="A7714" i="1"/>
  <c r="B7714" i="1"/>
  <c r="A7715" i="1"/>
  <c r="A7716" i="1"/>
  <c r="B7716" i="1"/>
  <c r="A7717" i="1"/>
  <c r="B7717" i="1"/>
  <c r="A7718" i="1"/>
  <c r="B7718" i="1"/>
  <c r="A7719" i="1"/>
  <c r="B7719" i="1"/>
  <c r="A7720" i="1"/>
  <c r="B7720" i="1"/>
  <c r="A7721" i="1"/>
  <c r="B7721" i="1"/>
  <c r="A7722" i="1"/>
  <c r="B7722" i="1"/>
  <c r="A7723" i="1"/>
  <c r="A7724" i="1"/>
  <c r="A7725" i="1"/>
  <c r="A7726" i="1"/>
  <c r="A7727" i="1"/>
  <c r="A7728" i="1"/>
  <c r="B7728" i="1"/>
  <c r="A7729" i="1"/>
  <c r="A7730" i="1"/>
  <c r="B7730" i="1"/>
  <c r="A7731" i="1"/>
  <c r="B7731" i="1"/>
  <c r="A7732" i="1"/>
  <c r="B7732" i="1"/>
  <c r="A7733" i="1"/>
  <c r="B7733" i="1"/>
  <c r="A7734" i="1"/>
  <c r="A7735" i="1"/>
  <c r="A7736" i="1"/>
  <c r="B7736" i="1"/>
  <c r="A7737" i="1"/>
  <c r="A7738" i="1"/>
  <c r="B7738" i="1"/>
  <c r="A7739" i="1"/>
  <c r="B7739" i="1"/>
  <c r="A7740" i="1"/>
  <c r="B7740" i="1"/>
  <c r="A7741" i="1"/>
  <c r="B7741" i="1"/>
  <c r="A7742" i="1"/>
  <c r="B7742" i="1"/>
  <c r="A7743" i="1"/>
  <c r="B7743" i="1"/>
  <c r="A7744" i="1"/>
  <c r="B7744" i="1"/>
  <c r="A7745" i="1"/>
  <c r="B7745" i="1"/>
  <c r="A7746" i="1"/>
  <c r="B7746" i="1"/>
  <c r="A7747" i="1"/>
  <c r="B7747" i="1"/>
  <c r="A7748" i="1"/>
  <c r="B7748" i="1"/>
  <c r="A7749" i="1"/>
  <c r="B7749" i="1"/>
  <c r="A7750" i="1"/>
  <c r="B7750" i="1"/>
  <c r="A7751" i="1"/>
  <c r="B7751" i="1"/>
  <c r="A7752" i="1"/>
  <c r="B7752" i="1"/>
  <c r="A7753" i="1"/>
  <c r="B7753" i="1"/>
  <c r="A7754" i="1"/>
  <c r="B7754" i="1"/>
  <c r="A7755" i="1"/>
  <c r="B7755" i="1"/>
  <c r="A7756" i="1"/>
  <c r="B7756" i="1"/>
  <c r="A7757" i="1"/>
  <c r="B7757" i="1"/>
  <c r="A7758" i="1"/>
  <c r="B7758" i="1"/>
  <c r="A7759" i="1"/>
  <c r="B7759" i="1"/>
  <c r="A7760" i="1"/>
  <c r="B7760" i="1"/>
  <c r="A7761" i="1"/>
  <c r="B7761" i="1"/>
  <c r="A7762" i="1"/>
  <c r="B7762" i="1"/>
  <c r="A7763" i="1"/>
  <c r="B7763" i="1"/>
  <c r="A7764" i="1"/>
  <c r="B7764" i="1"/>
  <c r="A7765" i="1"/>
  <c r="B7765" i="1"/>
  <c r="A7766" i="1"/>
  <c r="B7766" i="1"/>
  <c r="A7767" i="1"/>
  <c r="A7768" i="1"/>
  <c r="B7768" i="1"/>
  <c r="A7769" i="1"/>
  <c r="B7769" i="1"/>
  <c r="A7770" i="1"/>
  <c r="B7770" i="1"/>
  <c r="A7771" i="1"/>
  <c r="B7771" i="1"/>
  <c r="A7772" i="1"/>
  <c r="B7772" i="1"/>
  <c r="A7773" i="1"/>
  <c r="B7773" i="1"/>
  <c r="A7774" i="1"/>
  <c r="B7774" i="1"/>
  <c r="A7775" i="1"/>
  <c r="A7776" i="1"/>
  <c r="A7777" i="1"/>
  <c r="A7778" i="1"/>
  <c r="B7778" i="1"/>
  <c r="A7779" i="1"/>
  <c r="B7779" i="1"/>
  <c r="A7780" i="1"/>
  <c r="B7780" i="1"/>
  <c r="A7781" i="1"/>
  <c r="B7781" i="1"/>
  <c r="A7782" i="1"/>
  <c r="B7782" i="1"/>
  <c r="A7783" i="1"/>
  <c r="B7783" i="1"/>
  <c r="A7784" i="1"/>
  <c r="B7784" i="1"/>
  <c r="A7785" i="1"/>
  <c r="B7785" i="1"/>
  <c r="A7786" i="1"/>
  <c r="A7787" i="1"/>
  <c r="B7787" i="1"/>
  <c r="A7788" i="1"/>
  <c r="B7788" i="1"/>
  <c r="A7789" i="1"/>
  <c r="A7790" i="1"/>
  <c r="B7790" i="1"/>
  <c r="A7791" i="1"/>
  <c r="B7791" i="1"/>
  <c r="A7792" i="1"/>
  <c r="B7792" i="1"/>
  <c r="A7793" i="1"/>
  <c r="B7793" i="1"/>
  <c r="A7794" i="1"/>
  <c r="B7794" i="1"/>
  <c r="A7795" i="1"/>
  <c r="B7795" i="1"/>
  <c r="A7796" i="1"/>
  <c r="B7796" i="1"/>
  <c r="A7797" i="1"/>
  <c r="B7797" i="1"/>
  <c r="A7798" i="1"/>
  <c r="B7798" i="1"/>
  <c r="A7799" i="1"/>
  <c r="B7799" i="1"/>
  <c r="A7800" i="1"/>
  <c r="A7801" i="1"/>
  <c r="B7801" i="1"/>
  <c r="A7802" i="1"/>
  <c r="B7802" i="1"/>
  <c r="A7803" i="1"/>
  <c r="B7803" i="1"/>
  <c r="A7804" i="1"/>
  <c r="B7804" i="1"/>
  <c r="A7805" i="1"/>
  <c r="B7805" i="1"/>
  <c r="A7806" i="1"/>
  <c r="B7806" i="1"/>
  <c r="A7807" i="1"/>
  <c r="B7807" i="1"/>
  <c r="A7808" i="1"/>
  <c r="A7809" i="1"/>
  <c r="B7809" i="1"/>
  <c r="A7810" i="1"/>
  <c r="A7811" i="1"/>
  <c r="A7812" i="1"/>
  <c r="B7812" i="1"/>
  <c r="A7813" i="1"/>
  <c r="A7814" i="1"/>
  <c r="A7815" i="1"/>
  <c r="B7815" i="1"/>
  <c r="A7816" i="1"/>
  <c r="B7816" i="1"/>
  <c r="A7817" i="1"/>
  <c r="B7817" i="1"/>
  <c r="A7818" i="1"/>
  <c r="B7818" i="1"/>
  <c r="A7819" i="1"/>
  <c r="B7819" i="1"/>
  <c r="A7820" i="1"/>
  <c r="B7820" i="1"/>
  <c r="A7821" i="1"/>
  <c r="A7822" i="1"/>
  <c r="B7822" i="1"/>
  <c r="A7823" i="1"/>
  <c r="B7823" i="1"/>
  <c r="A7824" i="1"/>
  <c r="B7824" i="1"/>
  <c r="A7825" i="1"/>
  <c r="A7826" i="1"/>
  <c r="A7827" i="1"/>
  <c r="A7828" i="1"/>
  <c r="A7829" i="1"/>
  <c r="B7829" i="1"/>
  <c r="A7830" i="1"/>
  <c r="B7830" i="1"/>
  <c r="A7831" i="1"/>
  <c r="B7831" i="1"/>
  <c r="A7832" i="1"/>
  <c r="B7832" i="1"/>
  <c r="A7833" i="1"/>
  <c r="B7833" i="1"/>
  <c r="A7834" i="1"/>
  <c r="A7835" i="1"/>
  <c r="B7835" i="1"/>
  <c r="A7836" i="1"/>
  <c r="A7837" i="1"/>
  <c r="B7837" i="1"/>
  <c r="A7838" i="1"/>
  <c r="A7839" i="1"/>
  <c r="A7840" i="1"/>
  <c r="B7840" i="1"/>
  <c r="A7841" i="1"/>
  <c r="A7842" i="1"/>
  <c r="B7842" i="1"/>
  <c r="A7843" i="1"/>
  <c r="B7843" i="1"/>
  <c r="A7844" i="1"/>
  <c r="B7844" i="1"/>
  <c r="A7845" i="1"/>
  <c r="B7845" i="1"/>
  <c r="A7846" i="1"/>
  <c r="B7846" i="1"/>
  <c r="A7847" i="1"/>
  <c r="B7847" i="1"/>
  <c r="A7848" i="1"/>
  <c r="B7848" i="1"/>
  <c r="A7849" i="1"/>
  <c r="B7849" i="1"/>
  <c r="A7850" i="1"/>
  <c r="B7850" i="1"/>
  <c r="A7851" i="1"/>
  <c r="B7851" i="1"/>
  <c r="A7852" i="1"/>
  <c r="A7853" i="1"/>
  <c r="B7853" i="1"/>
  <c r="A7854" i="1"/>
  <c r="A7855" i="1"/>
  <c r="B7855" i="1"/>
  <c r="A7856" i="1"/>
  <c r="B7856" i="1"/>
  <c r="A7857" i="1"/>
  <c r="B7857" i="1"/>
  <c r="A7858" i="1"/>
  <c r="B7858" i="1"/>
  <c r="A7859" i="1"/>
  <c r="B7859" i="1"/>
  <c r="A7860" i="1"/>
  <c r="B7860" i="1"/>
  <c r="A7861" i="1"/>
  <c r="B7861" i="1"/>
  <c r="A7862" i="1"/>
  <c r="B7862" i="1"/>
  <c r="A7863" i="1"/>
  <c r="A7864" i="1"/>
  <c r="B7864" i="1"/>
  <c r="A7865" i="1"/>
  <c r="B7865" i="1"/>
  <c r="A7866" i="1"/>
  <c r="A7867" i="1"/>
  <c r="B7867" i="1"/>
  <c r="A7868" i="1"/>
  <c r="B7868" i="1"/>
  <c r="A7869" i="1"/>
  <c r="B7869" i="1"/>
  <c r="A7870" i="1"/>
  <c r="B7870" i="1"/>
  <c r="A7871" i="1"/>
  <c r="B7871" i="1"/>
  <c r="A7872" i="1"/>
  <c r="B7872" i="1"/>
  <c r="A7873" i="1"/>
  <c r="A7874" i="1"/>
  <c r="A7875" i="1"/>
  <c r="A7876" i="1"/>
  <c r="A7877" i="1"/>
  <c r="A7878" i="1"/>
  <c r="A7879" i="1"/>
  <c r="A7880" i="1"/>
  <c r="B7880" i="1"/>
  <c r="A7881" i="1"/>
  <c r="B7881" i="1"/>
  <c r="A7882" i="1"/>
  <c r="B7882" i="1"/>
  <c r="A7883" i="1"/>
  <c r="A7884" i="1"/>
  <c r="B7884" i="1"/>
  <c r="A7885" i="1"/>
  <c r="B7885" i="1"/>
  <c r="A7886" i="1"/>
  <c r="B7886" i="1"/>
  <c r="A7887" i="1"/>
  <c r="B7887" i="1"/>
  <c r="A7888" i="1"/>
  <c r="B7888" i="1"/>
  <c r="A7889" i="1"/>
  <c r="B7889" i="1"/>
  <c r="A7890" i="1"/>
  <c r="B7890" i="1"/>
  <c r="A7891" i="1"/>
  <c r="A7892" i="1"/>
  <c r="A7893" i="1"/>
  <c r="B7893" i="1"/>
  <c r="A7894" i="1"/>
  <c r="B7894" i="1"/>
  <c r="A7895" i="1"/>
  <c r="B7895" i="1"/>
  <c r="A7896" i="1"/>
  <c r="B7896" i="1"/>
  <c r="A7897" i="1"/>
  <c r="B7897" i="1"/>
  <c r="A7898" i="1"/>
  <c r="B7898" i="1"/>
  <c r="A7899" i="1"/>
  <c r="A7900" i="1"/>
  <c r="B7900" i="1"/>
  <c r="A7901" i="1"/>
  <c r="B7901" i="1"/>
  <c r="A7902" i="1"/>
  <c r="A7903" i="1"/>
  <c r="B7903" i="1"/>
  <c r="A7904" i="1"/>
  <c r="B7904" i="1"/>
  <c r="A7905" i="1"/>
  <c r="A7906" i="1"/>
  <c r="B7906" i="1"/>
  <c r="A7907" i="1"/>
  <c r="B7907" i="1"/>
  <c r="A7908" i="1"/>
  <c r="B7908" i="1"/>
  <c r="A7909" i="1"/>
  <c r="A7910" i="1"/>
  <c r="A7911" i="1"/>
  <c r="A7912" i="1"/>
  <c r="A7913" i="1"/>
  <c r="A7914" i="1"/>
  <c r="A7915" i="1"/>
  <c r="A7916" i="1"/>
  <c r="B7916" i="1"/>
  <c r="A7917" i="1"/>
  <c r="B7917" i="1"/>
  <c r="A7918" i="1"/>
  <c r="B7918" i="1"/>
  <c r="A7919" i="1"/>
  <c r="B7919" i="1"/>
  <c r="A7920" i="1"/>
  <c r="B7920" i="1"/>
  <c r="A7921" i="1"/>
  <c r="A7922" i="1"/>
  <c r="B7922" i="1"/>
  <c r="A7923" i="1"/>
  <c r="B7923" i="1"/>
  <c r="A7924" i="1"/>
  <c r="B7924" i="1"/>
  <c r="A7925" i="1"/>
  <c r="B7925" i="1"/>
  <c r="A7926" i="1"/>
  <c r="B7926" i="1"/>
  <c r="A7927" i="1"/>
  <c r="B7927" i="1"/>
  <c r="A7928" i="1"/>
  <c r="B7928" i="1"/>
  <c r="A7929" i="1"/>
  <c r="B7929" i="1"/>
  <c r="A7930" i="1"/>
  <c r="B7930" i="1"/>
  <c r="A7931" i="1"/>
  <c r="B7931" i="1"/>
  <c r="A7932" i="1"/>
  <c r="B7932" i="1"/>
  <c r="A7933" i="1"/>
  <c r="B7933" i="1"/>
  <c r="A7934" i="1"/>
  <c r="A7935" i="1"/>
  <c r="B7935" i="1"/>
  <c r="A7936" i="1"/>
  <c r="B7936" i="1"/>
  <c r="A7937" i="1"/>
  <c r="B7937" i="1"/>
  <c r="A7938" i="1"/>
  <c r="B7938" i="1"/>
  <c r="A7939" i="1"/>
  <c r="A7940" i="1"/>
  <c r="B7940" i="1"/>
  <c r="A7941" i="1"/>
  <c r="B7941" i="1"/>
  <c r="A7942" i="1"/>
  <c r="B7942" i="1"/>
  <c r="A7943" i="1"/>
  <c r="B7943" i="1"/>
  <c r="A7944" i="1"/>
  <c r="A7945" i="1"/>
  <c r="B7945" i="1"/>
  <c r="A7946" i="1"/>
  <c r="B7946" i="1"/>
  <c r="A7947" i="1"/>
  <c r="B7947" i="1"/>
  <c r="A7948" i="1"/>
  <c r="A7949" i="1"/>
  <c r="B7949" i="1"/>
  <c r="A7950" i="1"/>
  <c r="B7950" i="1"/>
  <c r="A7951" i="1"/>
  <c r="B7951" i="1"/>
  <c r="A7952" i="1"/>
  <c r="B7952" i="1"/>
  <c r="A7953" i="1"/>
  <c r="B7953" i="1"/>
  <c r="A7954" i="1"/>
  <c r="B7954" i="1"/>
  <c r="A7955" i="1"/>
  <c r="B7955" i="1"/>
  <c r="A7956" i="1"/>
  <c r="A7957" i="1"/>
  <c r="B7957" i="1"/>
  <c r="A7958" i="1"/>
  <c r="B7958" i="1"/>
  <c r="A7959" i="1"/>
  <c r="B7959" i="1"/>
  <c r="A7960" i="1"/>
  <c r="B7960" i="1"/>
  <c r="A7961" i="1"/>
  <c r="A7962" i="1"/>
  <c r="A7963" i="1"/>
  <c r="B7963" i="1"/>
  <c r="A7964" i="1"/>
  <c r="B7964" i="1"/>
  <c r="A7965" i="1"/>
  <c r="B7965" i="1"/>
  <c r="A7966" i="1"/>
  <c r="B7966" i="1"/>
  <c r="A7967" i="1"/>
  <c r="A7968" i="1"/>
  <c r="B7968" i="1"/>
  <c r="A7969" i="1"/>
  <c r="B7969" i="1"/>
  <c r="A7970" i="1"/>
  <c r="B7970" i="1"/>
  <c r="A7971" i="1"/>
  <c r="B7971" i="1"/>
  <c r="A7972" i="1"/>
  <c r="B7972" i="1"/>
  <c r="A7973" i="1"/>
  <c r="B7973" i="1"/>
  <c r="A7974" i="1"/>
  <c r="B7974" i="1"/>
  <c r="A7975" i="1"/>
  <c r="A7976" i="1"/>
  <c r="B7976" i="1"/>
  <c r="A7977" i="1"/>
  <c r="A7978" i="1"/>
  <c r="B7978" i="1"/>
  <c r="A7979" i="1"/>
  <c r="B7979" i="1"/>
  <c r="A7980" i="1"/>
  <c r="B7980" i="1"/>
  <c r="A7981" i="1"/>
  <c r="B7981" i="1"/>
  <c r="A7982" i="1"/>
  <c r="B7982" i="1"/>
  <c r="A7983" i="1"/>
  <c r="B7983" i="1"/>
  <c r="A7984" i="1"/>
  <c r="B7984" i="1"/>
  <c r="A7985" i="1"/>
  <c r="B7985" i="1"/>
  <c r="A7986" i="1"/>
  <c r="B7986" i="1"/>
  <c r="A7987" i="1"/>
  <c r="B7987" i="1"/>
  <c r="A7988" i="1"/>
  <c r="B7988" i="1"/>
  <c r="A7989" i="1"/>
  <c r="B7989" i="1"/>
  <c r="A7990" i="1"/>
  <c r="B7990" i="1"/>
  <c r="A7991" i="1"/>
  <c r="A7992" i="1"/>
  <c r="B7992" i="1"/>
  <c r="A7993" i="1"/>
  <c r="B7993" i="1"/>
  <c r="A7994" i="1"/>
  <c r="A7995" i="1"/>
  <c r="A7996" i="1"/>
  <c r="B7996" i="1"/>
  <c r="A7997" i="1"/>
  <c r="B7997" i="1"/>
  <c r="A7998" i="1"/>
  <c r="B7998" i="1"/>
  <c r="A7999" i="1"/>
  <c r="B7999" i="1"/>
  <c r="A8000" i="1"/>
  <c r="B8000" i="1"/>
  <c r="A8001" i="1"/>
  <c r="B8001" i="1"/>
  <c r="A8002" i="1"/>
  <c r="B8002" i="1"/>
  <c r="A8003" i="1"/>
  <c r="B8003" i="1"/>
  <c r="A8004" i="1"/>
  <c r="A8005" i="1"/>
  <c r="B8005" i="1"/>
  <c r="A8006" i="1"/>
  <c r="B8006" i="1"/>
  <c r="A8007" i="1"/>
  <c r="B8007" i="1"/>
  <c r="A8008" i="1"/>
  <c r="B8008" i="1"/>
  <c r="A8009" i="1"/>
  <c r="B8009" i="1"/>
  <c r="A8010" i="1"/>
  <c r="A8011" i="1"/>
  <c r="B8011" i="1"/>
  <c r="A8012" i="1"/>
  <c r="B8012" i="1"/>
  <c r="A8013" i="1"/>
  <c r="B8013" i="1"/>
  <c r="A8014" i="1"/>
  <c r="B8014" i="1"/>
  <c r="A8015" i="1"/>
  <c r="B8015" i="1"/>
  <c r="A8016" i="1"/>
  <c r="B8016" i="1"/>
  <c r="A8017" i="1"/>
  <c r="B8017" i="1"/>
  <c r="A8018" i="1"/>
  <c r="B8018" i="1"/>
  <c r="A8019" i="1"/>
  <c r="B8019" i="1"/>
  <c r="A8020" i="1"/>
  <c r="B8020" i="1"/>
  <c r="A8021" i="1"/>
  <c r="A8022" i="1"/>
  <c r="B8022" i="1"/>
  <c r="A8023" i="1"/>
  <c r="B8023" i="1"/>
  <c r="A8024" i="1"/>
  <c r="B8024" i="1"/>
  <c r="A8025" i="1"/>
  <c r="B8025" i="1"/>
  <c r="A8026" i="1"/>
  <c r="B8026" i="1"/>
  <c r="A8027" i="1"/>
  <c r="B8027" i="1"/>
  <c r="A8028" i="1"/>
  <c r="A8029" i="1"/>
  <c r="A8030" i="1"/>
  <c r="A8031" i="1"/>
  <c r="A8032" i="1"/>
  <c r="A8033" i="1"/>
  <c r="A8034" i="1"/>
  <c r="B8034" i="1"/>
  <c r="A8035" i="1"/>
  <c r="A8036" i="1"/>
  <c r="B8036" i="1"/>
  <c r="A8037" i="1"/>
  <c r="B8037" i="1"/>
  <c r="A8038" i="1"/>
  <c r="A8039" i="1"/>
  <c r="B8039" i="1"/>
  <c r="A8040" i="1"/>
  <c r="A8041" i="1"/>
  <c r="B8041" i="1"/>
  <c r="A8042" i="1"/>
  <c r="B8042" i="1"/>
  <c r="A8043" i="1"/>
  <c r="A8044" i="1"/>
  <c r="B8044" i="1"/>
  <c r="A8045" i="1"/>
  <c r="B8045" i="1"/>
  <c r="A8046" i="1"/>
  <c r="B8046" i="1"/>
  <c r="A8047" i="1"/>
  <c r="B8047" i="1"/>
  <c r="A8048" i="1"/>
  <c r="B8048" i="1"/>
  <c r="A8049" i="1"/>
  <c r="B8049" i="1"/>
  <c r="A8050" i="1"/>
  <c r="B8050" i="1"/>
  <c r="A8051" i="1"/>
  <c r="B8051" i="1"/>
  <c r="A8052" i="1"/>
  <c r="B8052" i="1"/>
  <c r="A8053" i="1"/>
  <c r="B8053" i="1"/>
  <c r="A8054" i="1"/>
  <c r="B8054" i="1"/>
  <c r="A8055" i="1"/>
  <c r="B8055" i="1"/>
  <c r="A8056" i="1"/>
  <c r="B8056" i="1"/>
  <c r="A8057" i="1"/>
  <c r="B8057" i="1"/>
  <c r="A8058" i="1"/>
  <c r="B8058" i="1"/>
  <c r="A8059" i="1"/>
  <c r="B8059" i="1"/>
  <c r="A8060" i="1"/>
  <c r="B8060" i="1"/>
  <c r="A8061" i="1"/>
  <c r="B8061" i="1"/>
  <c r="A8062" i="1"/>
  <c r="B8062" i="1"/>
  <c r="A8063" i="1"/>
  <c r="A8064" i="1"/>
  <c r="B8064" i="1"/>
  <c r="A8065" i="1"/>
  <c r="B8065" i="1"/>
  <c r="A8066" i="1"/>
  <c r="B8066" i="1"/>
  <c r="A8067" i="1"/>
  <c r="B8067" i="1"/>
  <c r="A8068" i="1"/>
  <c r="B8068" i="1"/>
  <c r="A8069" i="1"/>
  <c r="B8069" i="1"/>
  <c r="A8070" i="1"/>
  <c r="B8070" i="1"/>
  <c r="A8071" i="1"/>
  <c r="B8071" i="1"/>
  <c r="A8072" i="1"/>
  <c r="B8072" i="1"/>
  <c r="A8073" i="1"/>
  <c r="B8073" i="1"/>
  <c r="A8074" i="1"/>
  <c r="B8074" i="1"/>
  <c r="A8075" i="1"/>
  <c r="B8075" i="1"/>
  <c r="A8076" i="1"/>
  <c r="B8076" i="1"/>
  <c r="A8077" i="1"/>
  <c r="B8077" i="1"/>
  <c r="A8078" i="1"/>
  <c r="B8078" i="1"/>
  <c r="A8079" i="1"/>
  <c r="B8079" i="1"/>
  <c r="A8080" i="1"/>
  <c r="B8080" i="1"/>
  <c r="A8081" i="1"/>
  <c r="B8081" i="1"/>
  <c r="A8082" i="1"/>
  <c r="B8082" i="1"/>
  <c r="A8083" i="1"/>
  <c r="B8083" i="1"/>
  <c r="A8084" i="1"/>
  <c r="B8084" i="1"/>
  <c r="A8085" i="1"/>
  <c r="B8085" i="1"/>
  <c r="A8086" i="1"/>
  <c r="B8086" i="1"/>
  <c r="A8087" i="1"/>
  <c r="B8087" i="1"/>
  <c r="A8088" i="1"/>
  <c r="B8088" i="1"/>
  <c r="A8089" i="1"/>
  <c r="A8090" i="1"/>
  <c r="B8090" i="1"/>
  <c r="A8091" i="1"/>
  <c r="B8091" i="1"/>
  <c r="A8092" i="1"/>
  <c r="B8092" i="1"/>
  <c r="A8093" i="1"/>
  <c r="B8093" i="1"/>
  <c r="A8094" i="1"/>
  <c r="B8094" i="1"/>
  <c r="A8095" i="1"/>
  <c r="B8095" i="1"/>
  <c r="A8096" i="1"/>
  <c r="B8096" i="1"/>
  <c r="A8097" i="1"/>
  <c r="B8097" i="1"/>
  <c r="A8098" i="1"/>
  <c r="A8099" i="1"/>
  <c r="B8099" i="1"/>
  <c r="A8100" i="1"/>
  <c r="B8100" i="1"/>
  <c r="A8101" i="1"/>
  <c r="B8101" i="1"/>
  <c r="A8102" i="1"/>
  <c r="B8102" i="1"/>
  <c r="A8103" i="1"/>
  <c r="B8103" i="1"/>
  <c r="A8104" i="1"/>
  <c r="B8104" i="1"/>
  <c r="A8105" i="1"/>
  <c r="B8105" i="1"/>
  <c r="A8106" i="1"/>
  <c r="B8106" i="1"/>
  <c r="A8107" i="1"/>
  <c r="B8107" i="1"/>
  <c r="A8108" i="1"/>
  <c r="B8108" i="1"/>
  <c r="A8109" i="1"/>
  <c r="B8109" i="1"/>
  <c r="A8110" i="1"/>
  <c r="B8110" i="1"/>
  <c r="A8111" i="1"/>
  <c r="B8111" i="1"/>
  <c r="A8112" i="1"/>
  <c r="B8112" i="1"/>
  <c r="A8113" i="1"/>
  <c r="B8113" i="1"/>
  <c r="A8114" i="1"/>
  <c r="B8114" i="1"/>
  <c r="A8115" i="1"/>
  <c r="B8115" i="1"/>
  <c r="A8116" i="1"/>
  <c r="A8117" i="1"/>
  <c r="B8117" i="1"/>
  <c r="A8118" i="1"/>
  <c r="B8118" i="1"/>
  <c r="A8119" i="1"/>
  <c r="B8119" i="1"/>
  <c r="A8120" i="1"/>
  <c r="B8120" i="1"/>
  <c r="A8121" i="1"/>
  <c r="B8121" i="1"/>
  <c r="A8122" i="1"/>
  <c r="B8122" i="1"/>
  <c r="A8123" i="1"/>
  <c r="B8123" i="1"/>
  <c r="A8124" i="1"/>
  <c r="B8124" i="1"/>
  <c r="A8125" i="1"/>
  <c r="B8125" i="1"/>
  <c r="A8126" i="1"/>
  <c r="B8126" i="1"/>
  <c r="A8127" i="1"/>
  <c r="B8127" i="1"/>
  <c r="A8128" i="1"/>
  <c r="B8128" i="1"/>
  <c r="A8129" i="1"/>
  <c r="B8129" i="1"/>
  <c r="A8130" i="1"/>
  <c r="B8130" i="1"/>
  <c r="A8131" i="1"/>
  <c r="B8131" i="1"/>
  <c r="A8132" i="1"/>
  <c r="B8132" i="1"/>
  <c r="A8133" i="1"/>
  <c r="A8134" i="1"/>
  <c r="B8134" i="1"/>
  <c r="A8135" i="1"/>
  <c r="B8135" i="1"/>
  <c r="A8136" i="1"/>
  <c r="A8137" i="1"/>
  <c r="B8137" i="1"/>
  <c r="A8138" i="1"/>
  <c r="A8139" i="1"/>
  <c r="B8139" i="1"/>
  <c r="A8140" i="1"/>
  <c r="B8140" i="1"/>
  <c r="A8141" i="1"/>
  <c r="B8141" i="1"/>
  <c r="A8142" i="1"/>
  <c r="B8142" i="1"/>
  <c r="A8143" i="1"/>
  <c r="B8143" i="1"/>
  <c r="A8144" i="1"/>
  <c r="B8144" i="1"/>
  <c r="A8145" i="1"/>
  <c r="A8146" i="1"/>
  <c r="B8146" i="1"/>
  <c r="A8147" i="1"/>
  <c r="B8147" i="1"/>
  <c r="A8148" i="1"/>
  <c r="B8148" i="1"/>
  <c r="A8149" i="1"/>
  <c r="B8149" i="1"/>
  <c r="A8150" i="1"/>
  <c r="B8150" i="1"/>
  <c r="A8151" i="1"/>
  <c r="B8151" i="1"/>
  <c r="A8152" i="1"/>
  <c r="B8152" i="1"/>
  <c r="A8153" i="1"/>
  <c r="B8153" i="1"/>
  <c r="A8154" i="1"/>
  <c r="A8155" i="1"/>
  <c r="A8156" i="1"/>
  <c r="B8156" i="1"/>
  <c r="A8157" i="1"/>
  <c r="B8157" i="1"/>
  <c r="A8158" i="1"/>
  <c r="B8158" i="1"/>
  <c r="A8159" i="1"/>
  <c r="B8159" i="1"/>
  <c r="A8160" i="1"/>
  <c r="B8160" i="1"/>
  <c r="A8161" i="1"/>
  <c r="B8161" i="1"/>
  <c r="A8162" i="1"/>
  <c r="A8163" i="1"/>
  <c r="B8163" i="1"/>
  <c r="A8164" i="1"/>
  <c r="A8165" i="1"/>
  <c r="B8165" i="1"/>
  <c r="A8166" i="1"/>
  <c r="B8166" i="1"/>
  <c r="A8167" i="1"/>
  <c r="B8167" i="1"/>
  <c r="A8168" i="1"/>
  <c r="B8168" i="1"/>
  <c r="A8169" i="1"/>
  <c r="A8170" i="1"/>
  <c r="B8170" i="1"/>
  <c r="A8171" i="1"/>
  <c r="B8171" i="1"/>
  <c r="A8172" i="1"/>
  <c r="B8172" i="1"/>
  <c r="A8173" i="1"/>
  <c r="B8173" i="1"/>
  <c r="A8174" i="1"/>
  <c r="B8174" i="1"/>
  <c r="A8175" i="1"/>
  <c r="B8175" i="1"/>
  <c r="A8176" i="1"/>
  <c r="B8176" i="1"/>
  <c r="A8177" i="1"/>
  <c r="B8177" i="1"/>
  <c r="A8178" i="1"/>
  <c r="B8178" i="1"/>
  <c r="A8179" i="1"/>
  <c r="A8180" i="1"/>
  <c r="A8181" i="1"/>
  <c r="B8181" i="1"/>
  <c r="A8182" i="1"/>
  <c r="B8182" i="1"/>
  <c r="A8183" i="1"/>
  <c r="B8183" i="1"/>
  <c r="A8184" i="1"/>
  <c r="B8184" i="1"/>
  <c r="A8185" i="1"/>
  <c r="B8185" i="1"/>
  <c r="A8186" i="1"/>
  <c r="A8187" i="1"/>
  <c r="B8187" i="1"/>
  <c r="A8188" i="1"/>
  <c r="B8188" i="1"/>
  <c r="A8189" i="1"/>
  <c r="B8189" i="1"/>
  <c r="A8190" i="1"/>
  <c r="B8190" i="1"/>
  <c r="A8191" i="1"/>
  <c r="B8191" i="1"/>
  <c r="A8192" i="1"/>
  <c r="B8192" i="1"/>
  <c r="A8193" i="1"/>
  <c r="B8193" i="1"/>
  <c r="A8194" i="1"/>
  <c r="B8194" i="1"/>
  <c r="A8195" i="1"/>
  <c r="A8196" i="1"/>
  <c r="B8196" i="1"/>
  <c r="A8197" i="1"/>
  <c r="B8197" i="1"/>
  <c r="A8198" i="1"/>
  <c r="A8199" i="1"/>
  <c r="A8200" i="1"/>
  <c r="A8201" i="1"/>
  <c r="B8201" i="1"/>
  <c r="A8202" i="1"/>
  <c r="B8202" i="1"/>
  <c r="A8203" i="1"/>
  <c r="B8203" i="1"/>
  <c r="A8204" i="1"/>
  <c r="B8204" i="1"/>
  <c r="A8205" i="1"/>
  <c r="A8206" i="1"/>
  <c r="A8207" i="1"/>
  <c r="A8208" i="1"/>
  <c r="B8208" i="1"/>
  <c r="A8209" i="1"/>
  <c r="B8209" i="1"/>
  <c r="A8210" i="1"/>
  <c r="B8210" i="1"/>
  <c r="A8211" i="1"/>
  <c r="B8211" i="1"/>
  <c r="A8212" i="1"/>
  <c r="A8213" i="1"/>
  <c r="B8213" i="1"/>
  <c r="A8214" i="1"/>
  <c r="A8215" i="1"/>
  <c r="B8215" i="1"/>
  <c r="A8216" i="1"/>
  <c r="B8216" i="1"/>
  <c r="A8217" i="1"/>
  <c r="B8217" i="1"/>
  <c r="A8218" i="1"/>
  <c r="B8218" i="1"/>
  <c r="A8219" i="1"/>
  <c r="B8219" i="1"/>
  <c r="A8220" i="1"/>
  <c r="B8220" i="1"/>
  <c r="A8221" i="1"/>
  <c r="B8221" i="1"/>
  <c r="A8222" i="1"/>
  <c r="B8222" i="1"/>
  <c r="A8223" i="1"/>
  <c r="B8223" i="1"/>
  <c r="A8224" i="1"/>
  <c r="B8224" i="1"/>
  <c r="A8225" i="1"/>
  <c r="B8225" i="1"/>
  <c r="A8226" i="1"/>
  <c r="B8226" i="1"/>
  <c r="A8227" i="1"/>
  <c r="B8227" i="1"/>
  <c r="A8228" i="1"/>
  <c r="B8228" i="1"/>
  <c r="A8229" i="1"/>
  <c r="A8230" i="1"/>
  <c r="B8230" i="1"/>
  <c r="A8231" i="1"/>
  <c r="B8231" i="1"/>
  <c r="A8232" i="1"/>
  <c r="B8232" i="1"/>
  <c r="A8233" i="1"/>
  <c r="B8233" i="1"/>
  <c r="A8234" i="1"/>
  <c r="B8234" i="1"/>
  <c r="A8235" i="1"/>
  <c r="B8235" i="1"/>
  <c r="A8236" i="1"/>
  <c r="B8236" i="1"/>
  <c r="A8237" i="1"/>
  <c r="A8238" i="1"/>
  <c r="B8238" i="1"/>
  <c r="A8239" i="1"/>
  <c r="A8240" i="1"/>
  <c r="B8240" i="1"/>
  <c r="A8241" i="1"/>
  <c r="B8241" i="1"/>
  <c r="A8242" i="1"/>
  <c r="B8242" i="1"/>
  <c r="A8243" i="1"/>
  <c r="B8243" i="1"/>
  <c r="A8244" i="1"/>
  <c r="B8244" i="1"/>
  <c r="A8245" i="1"/>
  <c r="A8246" i="1"/>
  <c r="A8247" i="1"/>
  <c r="A8248" i="1"/>
  <c r="B8248" i="1"/>
  <c r="A8249" i="1"/>
  <c r="B8249" i="1"/>
  <c r="A8250" i="1"/>
  <c r="B8250" i="1"/>
  <c r="A8251" i="1"/>
  <c r="B8251" i="1"/>
  <c r="A8252" i="1"/>
  <c r="B8252" i="1"/>
  <c r="A8253" i="1"/>
  <c r="A8254" i="1"/>
  <c r="A8255" i="1"/>
  <c r="B8255" i="1"/>
  <c r="A8256" i="1"/>
  <c r="B8256" i="1"/>
  <c r="A8257" i="1"/>
  <c r="B8257" i="1"/>
  <c r="A8258" i="1"/>
  <c r="B8258" i="1"/>
  <c r="A8259" i="1"/>
  <c r="B8259" i="1"/>
  <c r="A8260" i="1"/>
  <c r="B8260" i="1"/>
  <c r="A8261" i="1"/>
  <c r="B8261" i="1"/>
  <c r="A8262" i="1"/>
  <c r="B8262" i="1"/>
  <c r="A8263" i="1"/>
  <c r="B8263" i="1"/>
  <c r="A8264" i="1"/>
  <c r="B8264" i="1"/>
  <c r="A8265" i="1"/>
  <c r="A8266" i="1"/>
  <c r="A8267" i="1"/>
  <c r="B8267" i="1"/>
  <c r="A8268" i="1"/>
  <c r="A8269" i="1"/>
  <c r="A8270" i="1"/>
  <c r="A8271" i="1"/>
  <c r="B8271" i="1"/>
  <c r="A8272" i="1"/>
  <c r="B8272" i="1"/>
  <c r="A8273" i="1"/>
  <c r="B8273" i="1"/>
  <c r="A8274" i="1"/>
  <c r="B8274" i="1"/>
  <c r="A8275" i="1"/>
  <c r="B8275" i="1"/>
  <c r="A8276" i="1"/>
  <c r="B8276" i="1"/>
  <c r="A8277" i="1"/>
  <c r="B8277" i="1"/>
  <c r="A8278" i="1"/>
  <c r="B8278" i="1"/>
  <c r="A8279" i="1"/>
  <c r="B8279" i="1"/>
  <c r="A8280" i="1"/>
  <c r="B8280" i="1"/>
  <c r="A8281" i="1"/>
  <c r="A8282" i="1"/>
  <c r="B8282" i="1"/>
  <c r="A8283" i="1"/>
  <c r="A8284" i="1"/>
  <c r="B8284" i="1"/>
  <c r="A8285" i="1"/>
  <c r="B8285" i="1"/>
  <c r="A8286" i="1"/>
  <c r="B8286" i="1"/>
  <c r="A8287" i="1"/>
  <c r="B8287" i="1"/>
  <c r="A8288" i="1"/>
  <c r="B8288" i="1"/>
  <c r="A8289" i="1"/>
  <c r="B8289" i="1"/>
  <c r="A8290" i="1"/>
  <c r="B8290" i="1"/>
  <c r="A8291" i="1"/>
  <c r="B8291" i="1"/>
  <c r="A8292" i="1"/>
  <c r="B8292" i="1"/>
  <c r="A8293" i="1"/>
  <c r="B8293" i="1"/>
  <c r="A8294" i="1"/>
  <c r="B8294" i="1"/>
  <c r="A8295" i="1"/>
  <c r="B8295" i="1"/>
  <c r="A8296" i="1"/>
  <c r="B8296" i="1"/>
  <c r="A8297" i="1"/>
  <c r="B8297" i="1"/>
  <c r="A8298" i="1"/>
  <c r="B8298" i="1"/>
  <c r="A8299" i="1"/>
  <c r="B8299" i="1"/>
  <c r="A8300" i="1"/>
  <c r="B8300" i="1"/>
  <c r="A8301" i="1"/>
  <c r="B8301" i="1"/>
  <c r="A8302" i="1"/>
  <c r="B8302" i="1"/>
  <c r="A8303" i="1"/>
  <c r="B8303" i="1"/>
  <c r="A8304" i="1"/>
  <c r="B8304" i="1"/>
  <c r="A8305" i="1"/>
  <c r="B8305" i="1"/>
  <c r="A8306" i="1"/>
  <c r="B8306" i="1"/>
  <c r="A8307" i="1"/>
  <c r="A8308" i="1"/>
  <c r="B8308" i="1"/>
  <c r="A8309" i="1"/>
  <c r="B8309" i="1"/>
  <c r="A8310" i="1"/>
  <c r="B8310" i="1"/>
  <c r="A8311" i="1"/>
  <c r="B8311" i="1"/>
  <c r="A8312" i="1"/>
  <c r="B8312" i="1"/>
  <c r="A8313" i="1"/>
  <c r="B8313" i="1"/>
  <c r="A8314" i="1"/>
  <c r="B8314" i="1"/>
  <c r="A8315" i="1"/>
  <c r="B8315" i="1"/>
  <c r="A8316" i="1"/>
  <c r="B8316" i="1"/>
  <c r="A8317" i="1"/>
  <c r="A8318" i="1"/>
  <c r="A8319" i="1"/>
  <c r="B8319" i="1"/>
  <c r="A8320" i="1"/>
  <c r="B8320" i="1"/>
  <c r="A8321" i="1"/>
  <c r="B8321" i="1"/>
  <c r="A8322" i="1"/>
  <c r="B8322" i="1"/>
  <c r="A8323" i="1"/>
  <c r="B8323" i="1"/>
  <c r="A8324" i="1"/>
  <c r="B8324" i="1"/>
  <c r="A8325" i="1"/>
  <c r="A8326" i="1"/>
  <c r="B8326" i="1"/>
  <c r="A8327" i="1"/>
  <c r="B8327" i="1"/>
  <c r="A8328" i="1"/>
  <c r="B8328" i="1"/>
  <c r="A8329" i="1"/>
  <c r="A8330" i="1"/>
  <c r="B8330" i="1"/>
  <c r="A8331" i="1"/>
  <c r="B8331" i="1"/>
  <c r="A8332" i="1"/>
  <c r="B8332" i="1"/>
  <c r="A8333" i="1"/>
  <c r="B8333" i="1"/>
  <c r="A8334" i="1"/>
  <c r="A8335" i="1"/>
  <c r="A8336" i="1"/>
  <c r="B8336" i="1"/>
  <c r="A8337" i="1"/>
  <c r="B8337" i="1"/>
  <c r="A8338" i="1"/>
  <c r="B8338" i="1"/>
  <c r="A8339" i="1"/>
  <c r="B8339" i="1"/>
  <c r="A8340" i="1"/>
  <c r="B8340" i="1"/>
  <c r="A8341" i="1"/>
  <c r="B8341" i="1"/>
  <c r="A8342" i="1"/>
  <c r="B8342" i="1"/>
  <c r="A8343" i="1"/>
  <c r="B8343" i="1"/>
  <c r="A8344" i="1"/>
  <c r="A8345" i="1"/>
  <c r="B8345" i="1"/>
  <c r="A8346" i="1"/>
  <c r="A8347" i="1"/>
  <c r="A8348" i="1"/>
  <c r="B8348" i="1"/>
  <c r="A8349" i="1"/>
  <c r="A8350" i="1"/>
  <c r="B8350" i="1"/>
  <c r="A8351" i="1"/>
  <c r="B8351" i="1"/>
  <c r="A8352" i="1"/>
  <c r="B8352" i="1"/>
  <c r="A8353" i="1"/>
  <c r="B8353" i="1"/>
  <c r="A8354" i="1"/>
  <c r="B8354" i="1"/>
  <c r="A8355" i="1"/>
  <c r="B8355" i="1"/>
  <c r="A8356" i="1"/>
  <c r="B8356" i="1"/>
  <c r="A8357" i="1"/>
  <c r="B8357" i="1"/>
  <c r="A8358" i="1"/>
  <c r="B8358" i="1"/>
  <c r="A8359" i="1"/>
  <c r="B8359" i="1"/>
  <c r="A8360" i="1"/>
  <c r="B8360" i="1"/>
  <c r="A8361" i="1"/>
  <c r="A8362" i="1"/>
  <c r="A8363" i="1"/>
  <c r="A8364" i="1"/>
  <c r="A8365" i="1"/>
  <c r="A8366" i="1"/>
  <c r="A8367" i="1"/>
  <c r="A8368" i="1"/>
  <c r="A8369" i="1"/>
  <c r="B8369" i="1"/>
  <c r="A8370" i="1"/>
  <c r="A8371" i="1"/>
  <c r="A8372" i="1"/>
  <c r="A8373" i="1"/>
  <c r="B8373" i="1"/>
  <c r="A8374" i="1"/>
  <c r="B8374" i="1"/>
  <c r="A8375" i="1"/>
  <c r="B8375" i="1"/>
  <c r="A8376" i="1"/>
  <c r="A8377" i="1"/>
  <c r="B8377" i="1"/>
  <c r="A8378" i="1"/>
  <c r="B8378" i="1"/>
  <c r="A8379" i="1"/>
  <c r="B8379" i="1"/>
  <c r="A8380" i="1"/>
  <c r="B8380" i="1"/>
  <c r="A8381" i="1"/>
  <c r="B8381" i="1"/>
  <c r="A8382" i="1"/>
  <c r="B8382" i="1"/>
  <c r="A8383" i="1"/>
  <c r="B8383" i="1"/>
  <c r="A8384" i="1"/>
  <c r="B8384" i="1"/>
  <c r="A8385" i="1"/>
  <c r="B8385" i="1"/>
  <c r="A8386" i="1"/>
  <c r="B8386" i="1"/>
  <c r="A8387" i="1"/>
  <c r="B8387" i="1"/>
  <c r="A8388" i="1"/>
  <c r="A8389" i="1"/>
  <c r="A8390" i="1"/>
  <c r="A8391" i="1"/>
  <c r="B8391" i="1"/>
  <c r="A8392" i="1"/>
  <c r="B8392" i="1"/>
  <c r="A8393" i="1"/>
  <c r="B8393" i="1"/>
  <c r="A8394" i="1"/>
  <c r="A8395" i="1"/>
  <c r="B8395" i="1"/>
  <c r="A8396" i="1"/>
  <c r="B8396" i="1"/>
  <c r="A8397" i="1"/>
  <c r="B8397" i="1"/>
  <c r="A8398" i="1"/>
  <c r="B8398" i="1"/>
  <c r="A8399" i="1"/>
  <c r="B8399" i="1"/>
  <c r="A8400" i="1"/>
  <c r="B8400" i="1"/>
  <c r="A8401" i="1"/>
  <c r="B8401" i="1"/>
  <c r="A8402" i="1"/>
  <c r="B8402" i="1"/>
  <c r="A8403" i="1"/>
  <c r="B8403" i="1"/>
  <c r="A8404" i="1"/>
  <c r="B8404" i="1"/>
  <c r="A8405" i="1"/>
  <c r="B8405" i="1"/>
  <c r="A8406" i="1"/>
  <c r="B8406" i="1"/>
  <c r="A8407" i="1"/>
  <c r="B8407" i="1"/>
  <c r="A8408" i="1"/>
  <c r="B8408" i="1"/>
  <c r="A8409" i="1"/>
  <c r="B8409" i="1"/>
  <c r="A8410" i="1"/>
  <c r="B8410" i="1"/>
  <c r="A8411" i="1"/>
  <c r="B8411" i="1"/>
  <c r="A8412" i="1"/>
  <c r="B8412" i="1"/>
  <c r="A8413" i="1"/>
  <c r="B8413" i="1"/>
  <c r="A8414" i="1"/>
  <c r="B8414" i="1"/>
  <c r="A8415" i="1"/>
  <c r="B8415" i="1"/>
  <c r="A8416" i="1"/>
  <c r="B8416" i="1"/>
  <c r="A8417" i="1"/>
  <c r="B8417" i="1"/>
  <c r="A8418" i="1"/>
  <c r="B8418" i="1"/>
  <c r="A8419" i="1"/>
  <c r="B8419" i="1"/>
  <c r="A8420" i="1"/>
  <c r="B8420" i="1"/>
  <c r="A8421" i="1"/>
  <c r="B8421" i="1"/>
  <c r="A8422" i="1"/>
  <c r="B8422" i="1"/>
  <c r="A8423" i="1"/>
  <c r="B8423" i="1"/>
  <c r="A8424" i="1"/>
  <c r="B8424" i="1"/>
  <c r="A8425" i="1"/>
  <c r="B8425" i="1"/>
  <c r="A8426" i="1"/>
  <c r="A8427" i="1"/>
  <c r="B8427" i="1"/>
  <c r="A8428" i="1"/>
  <c r="B8428" i="1"/>
  <c r="A8429" i="1"/>
  <c r="B8429" i="1"/>
  <c r="A8430" i="1"/>
  <c r="B8430" i="1"/>
  <c r="A8431" i="1"/>
  <c r="B8431" i="1"/>
  <c r="A8432" i="1"/>
  <c r="B8432" i="1"/>
  <c r="A8433" i="1"/>
  <c r="B8433" i="1"/>
  <c r="A8434" i="1"/>
  <c r="A8435" i="1"/>
  <c r="A8436" i="1"/>
  <c r="B8436" i="1"/>
  <c r="A8437" i="1"/>
  <c r="B8437" i="1"/>
  <c r="A8438" i="1"/>
  <c r="B8438" i="1"/>
  <c r="A8439" i="1"/>
  <c r="B8439" i="1"/>
  <c r="A8440" i="1"/>
  <c r="B8440" i="1"/>
  <c r="A8441" i="1"/>
  <c r="B8441" i="1"/>
  <c r="A8442" i="1"/>
  <c r="B8442" i="1"/>
  <c r="A8443" i="1"/>
  <c r="B8443" i="1"/>
  <c r="A8444" i="1"/>
  <c r="A8445" i="1"/>
  <c r="A8446" i="1"/>
  <c r="B8446" i="1"/>
  <c r="A8447" i="1"/>
  <c r="B8447" i="1"/>
  <c r="A8448" i="1"/>
  <c r="B8448" i="1"/>
  <c r="A8449" i="1"/>
  <c r="B8449" i="1"/>
  <c r="A8450" i="1"/>
  <c r="B8450" i="1"/>
  <c r="A8451" i="1"/>
  <c r="B8451" i="1"/>
  <c r="A8452" i="1"/>
  <c r="A8453" i="1"/>
  <c r="A8454" i="1"/>
  <c r="A8455" i="1"/>
  <c r="A8456" i="1"/>
  <c r="A8457" i="1"/>
  <c r="B8457" i="1"/>
  <c r="A8458" i="1"/>
  <c r="B8458" i="1"/>
  <c r="A8459" i="1"/>
  <c r="B8459" i="1"/>
  <c r="A8460" i="1"/>
  <c r="B8460" i="1"/>
  <c r="A8461" i="1"/>
  <c r="B8461" i="1"/>
  <c r="A8462" i="1"/>
  <c r="B8462" i="1"/>
  <c r="A8463" i="1"/>
  <c r="B8463" i="1"/>
  <c r="A8464" i="1"/>
  <c r="B8464" i="1"/>
  <c r="A8465" i="1"/>
  <c r="B8465" i="1"/>
  <c r="A8466" i="1"/>
  <c r="B8466" i="1"/>
  <c r="A8467" i="1"/>
  <c r="A8468" i="1"/>
  <c r="A8469" i="1"/>
  <c r="B8469" i="1"/>
  <c r="A8470" i="1"/>
  <c r="B8470" i="1"/>
  <c r="A8471" i="1"/>
  <c r="B8471" i="1"/>
  <c r="A8472" i="1"/>
  <c r="B8472" i="1"/>
  <c r="A8473" i="1"/>
  <c r="A8474" i="1"/>
  <c r="A8475" i="1"/>
  <c r="B8475" i="1"/>
  <c r="A8476" i="1"/>
  <c r="A8477" i="1"/>
  <c r="A8478" i="1"/>
  <c r="A8479" i="1"/>
  <c r="B8479" i="1"/>
  <c r="A8480" i="1"/>
  <c r="B8480" i="1"/>
  <c r="A8481" i="1"/>
  <c r="B8481" i="1"/>
  <c r="A8482" i="1"/>
  <c r="B8482" i="1"/>
  <c r="A8483" i="1"/>
  <c r="B8483" i="1"/>
  <c r="A8484" i="1"/>
  <c r="B8484" i="1"/>
  <c r="A8485" i="1"/>
  <c r="A8486" i="1"/>
  <c r="B8486" i="1"/>
  <c r="A8487" i="1"/>
  <c r="B8487" i="1"/>
  <c r="A8488" i="1"/>
  <c r="B8488" i="1"/>
  <c r="A8489" i="1"/>
  <c r="B8489" i="1"/>
  <c r="A8490" i="1"/>
  <c r="A8491" i="1"/>
  <c r="B8491" i="1"/>
  <c r="A8492" i="1"/>
  <c r="B8492" i="1"/>
  <c r="A8493" i="1"/>
  <c r="B8493" i="1"/>
  <c r="A8494" i="1"/>
  <c r="B8494" i="1"/>
  <c r="A8495" i="1"/>
  <c r="B8495" i="1"/>
  <c r="A8496" i="1"/>
  <c r="B8496" i="1"/>
  <c r="A8497" i="1"/>
  <c r="B8497" i="1"/>
  <c r="A8498" i="1"/>
  <c r="B8498" i="1"/>
  <c r="A8499" i="1"/>
  <c r="B8499" i="1"/>
  <c r="A8500" i="1"/>
  <c r="B8500" i="1"/>
  <c r="A8501" i="1"/>
  <c r="B8501" i="1"/>
  <c r="A8502" i="1"/>
  <c r="A8503" i="1"/>
  <c r="B8503" i="1"/>
  <c r="A8504" i="1"/>
  <c r="B8504" i="1"/>
  <c r="A8505" i="1"/>
  <c r="B8505" i="1"/>
  <c r="A8506" i="1"/>
  <c r="A8507" i="1"/>
  <c r="A8508" i="1"/>
  <c r="A8509" i="1"/>
  <c r="B8509" i="1"/>
  <c r="A8510" i="1"/>
  <c r="A8511" i="1"/>
  <c r="A8512" i="1"/>
  <c r="B8512" i="1"/>
  <c r="A8513" i="1"/>
  <c r="B8513" i="1"/>
  <c r="A8514" i="1"/>
  <c r="B8514" i="1"/>
  <c r="A8515" i="1"/>
  <c r="B8515" i="1"/>
  <c r="A8516" i="1"/>
  <c r="A8517" i="1"/>
  <c r="B8517" i="1"/>
  <c r="A8518" i="1"/>
  <c r="B8518" i="1"/>
  <c r="A8519" i="1"/>
  <c r="B8519" i="1"/>
  <c r="A8520" i="1"/>
  <c r="B8520" i="1"/>
  <c r="A8521" i="1"/>
  <c r="B8521" i="1"/>
  <c r="A8522" i="1"/>
  <c r="B8522" i="1"/>
  <c r="A8523" i="1"/>
  <c r="B8523" i="1"/>
  <c r="A8524" i="1"/>
  <c r="B8524" i="1"/>
  <c r="A8525" i="1"/>
  <c r="B8525" i="1"/>
  <c r="A8526" i="1"/>
  <c r="B8526" i="1"/>
  <c r="A8527" i="1"/>
  <c r="B8527" i="1"/>
  <c r="A8528" i="1"/>
  <c r="B8528" i="1"/>
  <c r="A8529" i="1"/>
  <c r="B8529" i="1"/>
  <c r="A8530" i="1"/>
  <c r="A8531" i="1"/>
  <c r="A8532" i="1"/>
  <c r="B8532" i="1"/>
  <c r="A8533" i="1"/>
  <c r="B8533" i="1"/>
  <c r="A8534" i="1"/>
  <c r="A8535" i="1"/>
  <c r="B8535" i="1"/>
  <c r="A8536" i="1"/>
  <c r="B8536" i="1"/>
  <c r="A8537" i="1"/>
  <c r="A8538" i="1"/>
  <c r="A8539" i="1"/>
  <c r="B8539" i="1"/>
  <c r="A8540" i="1"/>
  <c r="B8540" i="1"/>
  <c r="A8541" i="1"/>
  <c r="A8542" i="1"/>
  <c r="A8543" i="1"/>
  <c r="A8544" i="1"/>
  <c r="A8545" i="1"/>
  <c r="B8545" i="1"/>
  <c r="A8546" i="1"/>
  <c r="B8546" i="1"/>
  <c r="A8547" i="1"/>
  <c r="B8547" i="1"/>
  <c r="A8548" i="1"/>
  <c r="B8548" i="1"/>
  <c r="A8549" i="1"/>
  <c r="B8549" i="1"/>
  <c r="A8550" i="1"/>
  <c r="B8550" i="1"/>
  <c r="A8551" i="1"/>
  <c r="B8551" i="1"/>
  <c r="A8552" i="1"/>
  <c r="B8552" i="1"/>
  <c r="A8553" i="1"/>
  <c r="B8553" i="1"/>
  <c r="A8554" i="1"/>
  <c r="B8554" i="1"/>
  <c r="A8555" i="1"/>
  <c r="B8555" i="1"/>
  <c r="A8556" i="1"/>
  <c r="B8556" i="1"/>
  <c r="A8557" i="1"/>
  <c r="B8557" i="1"/>
  <c r="A8558" i="1"/>
  <c r="A8559" i="1"/>
  <c r="B8559" i="1"/>
  <c r="A8560" i="1"/>
  <c r="B8560" i="1"/>
  <c r="A8561" i="1"/>
  <c r="A8562" i="1"/>
  <c r="B8562" i="1"/>
  <c r="A8563" i="1"/>
  <c r="A8564" i="1"/>
  <c r="A8565" i="1"/>
  <c r="B8565" i="1"/>
  <c r="A8566" i="1"/>
  <c r="B8566" i="1"/>
  <c r="A8567" i="1"/>
  <c r="B8567" i="1"/>
  <c r="A8568" i="1"/>
  <c r="B8568" i="1"/>
  <c r="A8569" i="1"/>
  <c r="B8569" i="1"/>
  <c r="A8570" i="1"/>
  <c r="B8570" i="1"/>
  <c r="A8571" i="1"/>
  <c r="A8572" i="1"/>
  <c r="A8573" i="1"/>
  <c r="A8574" i="1"/>
  <c r="B8574" i="1"/>
  <c r="A8575" i="1"/>
  <c r="B8575" i="1"/>
  <c r="A8576" i="1"/>
  <c r="B8576" i="1"/>
  <c r="A8577" i="1"/>
  <c r="B8577" i="1"/>
  <c r="A8578" i="1"/>
  <c r="B8578" i="1"/>
  <c r="A8579" i="1"/>
  <c r="A8580" i="1"/>
  <c r="A8581" i="1"/>
  <c r="A8582" i="1"/>
  <c r="A8583" i="1"/>
  <c r="A8584" i="1"/>
  <c r="B8584" i="1"/>
  <c r="A8585" i="1"/>
  <c r="B8585" i="1"/>
  <c r="A8586" i="1"/>
  <c r="B8586" i="1"/>
  <c r="A8587" i="1"/>
  <c r="B8587" i="1"/>
  <c r="A8588" i="1"/>
  <c r="B8588" i="1"/>
  <c r="A8589" i="1"/>
  <c r="A8590" i="1"/>
  <c r="B8590" i="1"/>
  <c r="A8591" i="1"/>
  <c r="B8591" i="1"/>
  <c r="A8592" i="1"/>
  <c r="B8592" i="1"/>
  <c r="A8593" i="1"/>
  <c r="B8593" i="1"/>
  <c r="A8594" i="1"/>
  <c r="B8594" i="1"/>
  <c r="A8595" i="1"/>
  <c r="B8595" i="1"/>
  <c r="A8596" i="1"/>
  <c r="B8596" i="1"/>
  <c r="A8597" i="1"/>
  <c r="B8597" i="1"/>
  <c r="A8598" i="1"/>
  <c r="A8599" i="1"/>
  <c r="A8600" i="1"/>
  <c r="B8600" i="1"/>
  <c r="A8601" i="1"/>
  <c r="A8602" i="1"/>
  <c r="B8602" i="1"/>
  <c r="A8603" i="1"/>
  <c r="B8603" i="1"/>
  <c r="A8604" i="1"/>
  <c r="B8604" i="1"/>
  <c r="A8605" i="1"/>
  <c r="A8606" i="1"/>
  <c r="A8607" i="1"/>
  <c r="B8607" i="1"/>
  <c r="A8608" i="1"/>
  <c r="A8609" i="1"/>
  <c r="B8609" i="1"/>
  <c r="A8610" i="1"/>
  <c r="B8610" i="1"/>
  <c r="A8611" i="1"/>
  <c r="B8611" i="1"/>
  <c r="A8612" i="1"/>
  <c r="B8612" i="1"/>
  <c r="A8613" i="1"/>
  <c r="B8613" i="1"/>
  <c r="A8614" i="1"/>
  <c r="B8614" i="1"/>
  <c r="A8615" i="1"/>
  <c r="B8615" i="1"/>
  <c r="A8616" i="1"/>
  <c r="B8616" i="1"/>
  <c r="A8617" i="1"/>
  <c r="B8617" i="1"/>
  <c r="A8618" i="1"/>
  <c r="B8618" i="1"/>
  <c r="A8619" i="1"/>
  <c r="B8619" i="1"/>
  <c r="A8620" i="1"/>
  <c r="B8620" i="1"/>
  <c r="A8621" i="1"/>
  <c r="A8622" i="1"/>
  <c r="A8623" i="1"/>
  <c r="B8623" i="1"/>
  <c r="A8624" i="1"/>
  <c r="B8624" i="1"/>
  <c r="A8625" i="1"/>
  <c r="A8626" i="1"/>
  <c r="A8627" i="1"/>
  <c r="A8628" i="1"/>
  <c r="B8628" i="1"/>
  <c r="A8629" i="1"/>
  <c r="B8629" i="1"/>
  <c r="A8630" i="1"/>
  <c r="B8630" i="1"/>
  <c r="A8631" i="1"/>
  <c r="B8631" i="1"/>
  <c r="A8632" i="1"/>
  <c r="B8632" i="1"/>
  <c r="A8633" i="1"/>
  <c r="B8633" i="1"/>
  <c r="A8634" i="1"/>
  <c r="A8635" i="1"/>
  <c r="A8636" i="1"/>
  <c r="B8636" i="1"/>
  <c r="A8637" i="1"/>
  <c r="B8637" i="1"/>
  <c r="A8638" i="1"/>
  <c r="B8638" i="1"/>
  <c r="A8639" i="1"/>
  <c r="B8639" i="1"/>
  <c r="A8640" i="1"/>
  <c r="B8640" i="1"/>
  <c r="A8641" i="1"/>
  <c r="A8642" i="1"/>
  <c r="A8643" i="1"/>
  <c r="B8643" i="1"/>
  <c r="A8644" i="1"/>
  <c r="B8644" i="1"/>
  <c r="A8645" i="1"/>
  <c r="B8645" i="1"/>
  <c r="A8646" i="1"/>
  <c r="B8646" i="1"/>
  <c r="A8647" i="1"/>
  <c r="B8647" i="1"/>
  <c r="A8648" i="1"/>
  <c r="B8648" i="1"/>
  <c r="A8649" i="1"/>
  <c r="B8649" i="1"/>
  <c r="A8650" i="1"/>
  <c r="B8650" i="1"/>
  <c r="A8651" i="1"/>
  <c r="B8651" i="1"/>
  <c r="A8652" i="1"/>
  <c r="A8653" i="1"/>
  <c r="A8654" i="1"/>
  <c r="B8654" i="1"/>
  <c r="A8655" i="1"/>
  <c r="B8655" i="1"/>
  <c r="A8656" i="1"/>
  <c r="A8657" i="1"/>
  <c r="A8658" i="1"/>
  <c r="B8658" i="1"/>
  <c r="A8659" i="1"/>
  <c r="B8659" i="1"/>
  <c r="A8660" i="1"/>
  <c r="A8661" i="1"/>
  <c r="A8662" i="1"/>
  <c r="B8662" i="1"/>
  <c r="A8663" i="1"/>
  <c r="A8664" i="1"/>
  <c r="B8664" i="1"/>
  <c r="A8665" i="1"/>
  <c r="B8665" i="1"/>
  <c r="A8666" i="1"/>
  <c r="A8667" i="1"/>
  <c r="A8668" i="1"/>
  <c r="A8669" i="1"/>
  <c r="B8669" i="1"/>
  <c r="A8670" i="1"/>
  <c r="A8671" i="1"/>
  <c r="A8672" i="1"/>
  <c r="B8672" i="1"/>
  <c r="A8673" i="1"/>
  <c r="B8673" i="1"/>
  <c r="A8674" i="1"/>
  <c r="B8674" i="1"/>
  <c r="A8675" i="1"/>
  <c r="A8676" i="1"/>
  <c r="B8676" i="1"/>
  <c r="A8677" i="1"/>
  <c r="B8677" i="1"/>
  <c r="A8678" i="1"/>
  <c r="A8679" i="1"/>
  <c r="B8679" i="1"/>
  <c r="A8680" i="1"/>
  <c r="B8680" i="1"/>
  <c r="A8681" i="1"/>
  <c r="A8682" i="1"/>
  <c r="B8682" i="1"/>
  <c r="A8683" i="1"/>
  <c r="B8683" i="1"/>
  <c r="A8684" i="1"/>
  <c r="B8684" i="1"/>
  <c r="A8685" i="1"/>
  <c r="B8685" i="1"/>
  <c r="A8686" i="1"/>
  <c r="B8686" i="1"/>
  <c r="A8687" i="1"/>
  <c r="B8687" i="1"/>
  <c r="A8688" i="1"/>
  <c r="B8688" i="1"/>
  <c r="A8689" i="1"/>
  <c r="B8689" i="1"/>
  <c r="A8690" i="1"/>
  <c r="B8690" i="1"/>
  <c r="A8691" i="1"/>
  <c r="B8691" i="1"/>
  <c r="A8692" i="1"/>
  <c r="B8692" i="1"/>
  <c r="A8693" i="1"/>
  <c r="B8693" i="1"/>
  <c r="A8694" i="1"/>
  <c r="A8695" i="1"/>
  <c r="B8695" i="1"/>
  <c r="A8696" i="1"/>
  <c r="B8696" i="1"/>
  <c r="A8697" i="1"/>
  <c r="A8698" i="1"/>
  <c r="A8699" i="1"/>
  <c r="B8699" i="1"/>
  <c r="A8700" i="1"/>
  <c r="A8701" i="1"/>
  <c r="B8701" i="1"/>
  <c r="A8702" i="1"/>
  <c r="B8702" i="1"/>
  <c r="A8703" i="1"/>
  <c r="B8703" i="1"/>
  <c r="A8704" i="1"/>
  <c r="A8705" i="1"/>
  <c r="A8706" i="1"/>
  <c r="A8707" i="1"/>
  <c r="A8708" i="1"/>
  <c r="B8708" i="1"/>
  <c r="A8709" i="1"/>
  <c r="B8709" i="1"/>
  <c r="A8710" i="1"/>
  <c r="B8710" i="1"/>
  <c r="A8711" i="1"/>
  <c r="B8711" i="1"/>
  <c r="A8712" i="1"/>
  <c r="A8713" i="1"/>
  <c r="B8713" i="1"/>
  <c r="A8714" i="1"/>
  <c r="A8715" i="1"/>
  <c r="B8715" i="1"/>
  <c r="A8716" i="1"/>
  <c r="B8716" i="1"/>
  <c r="A8717" i="1"/>
  <c r="B8717" i="1"/>
  <c r="A8718" i="1"/>
  <c r="B8718" i="1"/>
  <c r="A8719" i="1"/>
  <c r="B8719" i="1"/>
  <c r="A8720" i="1"/>
  <c r="B8720" i="1"/>
  <c r="A8721" i="1"/>
  <c r="B8721" i="1"/>
  <c r="A8722" i="1"/>
  <c r="B8722" i="1"/>
  <c r="A8723" i="1"/>
  <c r="B8723" i="1"/>
  <c r="A8724" i="1"/>
  <c r="B8724" i="1"/>
  <c r="A8725" i="1"/>
  <c r="B8725" i="1"/>
  <c r="A8726" i="1"/>
  <c r="B8726" i="1"/>
  <c r="A8727" i="1"/>
  <c r="A8728" i="1"/>
  <c r="B8728" i="1"/>
  <c r="A8729" i="1"/>
  <c r="B8729" i="1"/>
  <c r="A8730" i="1"/>
  <c r="B8730" i="1"/>
  <c r="A8731" i="1"/>
  <c r="A8732" i="1"/>
  <c r="B8732" i="1"/>
  <c r="A8733" i="1"/>
  <c r="B8733" i="1"/>
  <c r="A8734" i="1"/>
  <c r="A8735" i="1"/>
  <c r="B8735" i="1"/>
  <c r="A8736" i="1"/>
  <c r="B8736" i="1"/>
  <c r="A8737" i="1"/>
  <c r="B8737" i="1"/>
  <c r="A8738" i="1"/>
  <c r="A8739" i="1"/>
  <c r="B8739" i="1"/>
  <c r="A8740" i="1"/>
  <c r="B8740" i="1"/>
  <c r="A8741" i="1"/>
  <c r="B8741" i="1"/>
  <c r="A8742" i="1"/>
  <c r="A8743" i="1"/>
  <c r="A8744" i="1"/>
  <c r="B8744" i="1"/>
  <c r="A8745" i="1"/>
  <c r="B8745" i="1"/>
  <c r="A8746" i="1"/>
  <c r="A8747" i="1"/>
  <c r="A8748" i="1"/>
  <c r="A8749" i="1"/>
  <c r="A8750" i="1"/>
  <c r="A8751" i="1"/>
  <c r="A8752" i="1"/>
  <c r="B8752" i="1"/>
  <c r="A8753" i="1"/>
  <c r="B8753" i="1"/>
  <c r="A8754" i="1"/>
  <c r="A8755" i="1"/>
  <c r="A8756" i="1"/>
  <c r="A8757" i="1"/>
  <c r="A8758" i="1"/>
  <c r="A8759" i="1"/>
  <c r="B8759" i="1"/>
  <c r="A8760" i="1"/>
  <c r="B8760" i="1"/>
  <c r="A8761" i="1"/>
  <c r="B8761" i="1"/>
  <c r="A8762" i="1"/>
  <c r="B8762" i="1"/>
  <c r="A8763" i="1"/>
  <c r="B8763" i="1"/>
  <c r="A8764" i="1"/>
  <c r="B8764" i="1"/>
  <c r="A8765" i="1"/>
  <c r="A8766" i="1"/>
  <c r="B8766" i="1"/>
  <c r="A8767" i="1"/>
  <c r="B8767" i="1"/>
  <c r="A8768" i="1"/>
  <c r="B8768" i="1"/>
  <c r="A8769" i="1"/>
  <c r="B8769" i="1"/>
  <c r="A8770" i="1"/>
  <c r="B8770" i="1"/>
  <c r="A8771" i="1"/>
  <c r="B8771" i="1"/>
  <c r="A8772" i="1"/>
  <c r="A8773" i="1"/>
  <c r="B8773" i="1"/>
  <c r="A8774" i="1"/>
  <c r="B8774" i="1"/>
  <c r="A8775" i="1"/>
  <c r="B8775" i="1"/>
  <c r="A8776" i="1"/>
  <c r="A8777" i="1"/>
  <c r="B8777" i="1"/>
  <c r="A8778" i="1"/>
  <c r="B8778" i="1"/>
  <c r="A8779" i="1"/>
  <c r="A8780" i="1"/>
  <c r="B8780" i="1"/>
  <c r="A8781" i="1"/>
  <c r="A8782" i="1"/>
  <c r="A8783" i="1"/>
  <c r="B8783" i="1"/>
  <c r="A8784" i="1"/>
  <c r="B8784" i="1"/>
  <c r="A8785" i="1"/>
  <c r="B8785" i="1"/>
  <c r="A8786" i="1"/>
  <c r="B8786" i="1"/>
  <c r="A8787" i="1"/>
  <c r="B8787" i="1"/>
  <c r="A8788" i="1"/>
  <c r="B8788" i="1"/>
  <c r="A8789" i="1"/>
  <c r="B8789" i="1"/>
  <c r="A8790" i="1"/>
  <c r="A8791" i="1"/>
  <c r="A8792" i="1"/>
  <c r="A8793" i="1"/>
  <c r="B8793" i="1"/>
  <c r="A8794" i="1"/>
  <c r="B8794" i="1"/>
  <c r="A8795" i="1"/>
  <c r="B8795" i="1"/>
  <c r="A8796" i="1"/>
  <c r="B8796" i="1"/>
  <c r="A8797" i="1"/>
  <c r="B8797" i="1"/>
  <c r="A8798" i="1"/>
  <c r="B8798" i="1"/>
  <c r="A8799" i="1"/>
  <c r="B8799" i="1"/>
  <c r="A8800" i="1"/>
  <c r="A8801" i="1"/>
  <c r="B8801" i="1"/>
  <c r="A8802" i="1"/>
  <c r="A8803" i="1"/>
  <c r="A8804" i="1"/>
  <c r="B8804" i="1"/>
  <c r="A8805" i="1"/>
  <c r="B8805" i="1"/>
  <c r="A8806" i="1"/>
  <c r="B8806" i="1"/>
  <c r="A8807" i="1"/>
  <c r="A8808" i="1"/>
  <c r="B8808" i="1"/>
  <c r="A8809" i="1"/>
  <c r="B8809" i="1"/>
  <c r="A8810" i="1"/>
  <c r="B8810" i="1"/>
  <c r="A8811" i="1"/>
  <c r="B8811" i="1"/>
  <c r="A8812" i="1"/>
  <c r="B8812" i="1"/>
  <c r="A8813" i="1"/>
  <c r="B8813" i="1"/>
  <c r="A8814" i="1"/>
  <c r="B8814" i="1"/>
  <c r="A8815" i="1"/>
  <c r="B8815" i="1"/>
  <c r="A8816" i="1"/>
  <c r="B8816" i="1"/>
  <c r="A8817" i="1"/>
  <c r="B8817" i="1"/>
  <c r="A8818" i="1"/>
  <c r="B8818" i="1"/>
  <c r="A8819" i="1"/>
  <c r="B8819" i="1"/>
  <c r="A8820" i="1"/>
  <c r="B8820" i="1"/>
  <c r="A8821" i="1"/>
  <c r="B8821" i="1"/>
  <c r="A8822" i="1"/>
  <c r="B8822" i="1"/>
  <c r="A8823" i="1"/>
  <c r="B8823" i="1"/>
  <c r="A8824" i="1"/>
  <c r="B8824" i="1"/>
  <c r="A8825" i="1"/>
  <c r="B8825" i="1"/>
  <c r="A8826" i="1"/>
  <c r="B8826" i="1"/>
  <c r="A8827" i="1"/>
  <c r="A8828" i="1"/>
  <c r="B8828" i="1"/>
  <c r="A8829" i="1"/>
  <c r="B8829" i="1"/>
  <c r="A8830" i="1"/>
  <c r="B8830" i="1"/>
  <c r="A8831" i="1"/>
  <c r="B8831" i="1"/>
  <c r="A8832" i="1"/>
  <c r="A8833" i="1"/>
  <c r="B8833" i="1"/>
  <c r="A8834" i="1"/>
  <c r="B8834" i="1"/>
  <c r="A8835" i="1"/>
  <c r="B8835" i="1"/>
  <c r="A8836" i="1"/>
  <c r="B8836" i="1"/>
  <c r="A8837" i="1"/>
  <c r="B8837" i="1"/>
  <c r="A8838" i="1"/>
  <c r="A8839" i="1"/>
  <c r="B8839" i="1"/>
  <c r="A8840" i="1"/>
  <c r="B8840" i="1"/>
  <c r="A8841" i="1"/>
  <c r="B8841" i="1"/>
  <c r="A8842" i="1"/>
  <c r="B8842" i="1"/>
  <c r="A8843" i="1"/>
  <c r="A8844" i="1"/>
  <c r="B8844" i="1"/>
  <c r="A8845" i="1"/>
  <c r="B8845" i="1"/>
  <c r="A8846" i="1"/>
  <c r="B8846" i="1"/>
  <c r="A8847" i="1"/>
  <c r="B8847" i="1"/>
  <c r="A8848" i="1"/>
  <c r="B8848" i="1"/>
  <c r="A8849" i="1"/>
  <c r="B8849" i="1"/>
  <c r="A8850" i="1"/>
  <c r="A8851" i="1"/>
  <c r="B8851" i="1"/>
  <c r="A8852" i="1"/>
  <c r="B8852" i="1"/>
  <c r="A8853" i="1"/>
  <c r="A8854" i="1"/>
  <c r="B8854" i="1"/>
  <c r="A8855" i="1"/>
  <c r="B8855" i="1"/>
  <c r="A8856" i="1"/>
  <c r="A8857" i="1"/>
  <c r="B8857" i="1"/>
  <c r="A8858" i="1"/>
  <c r="B8858" i="1"/>
  <c r="A8859" i="1"/>
  <c r="B8859" i="1"/>
  <c r="A8860" i="1"/>
  <c r="B8860" i="1"/>
  <c r="A8861" i="1"/>
  <c r="B8861" i="1"/>
  <c r="A8862" i="1"/>
  <c r="B8862" i="1"/>
  <c r="A8863" i="1"/>
  <c r="B8863" i="1"/>
  <c r="A8864" i="1"/>
  <c r="B8864" i="1"/>
  <c r="A8865" i="1"/>
  <c r="A8866" i="1"/>
  <c r="B8866" i="1"/>
  <c r="A8867" i="1"/>
  <c r="B8867" i="1"/>
  <c r="A8868" i="1"/>
  <c r="B8868" i="1"/>
  <c r="A8869" i="1"/>
  <c r="B8869" i="1"/>
  <c r="A8870" i="1"/>
  <c r="B8870" i="1"/>
  <c r="A8871" i="1"/>
  <c r="B8871" i="1"/>
  <c r="A8872" i="1"/>
  <c r="B8872" i="1"/>
  <c r="A8873" i="1"/>
  <c r="B8873" i="1"/>
  <c r="A8874" i="1"/>
  <c r="B8874" i="1"/>
  <c r="A8875" i="1"/>
  <c r="B8875" i="1"/>
  <c r="A8876" i="1"/>
  <c r="B8876" i="1"/>
  <c r="A8877" i="1"/>
  <c r="B8877" i="1"/>
  <c r="A8878" i="1"/>
  <c r="B8878" i="1"/>
  <c r="A8879" i="1"/>
  <c r="B8879" i="1"/>
  <c r="A8880" i="1"/>
  <c r="B8880" i="1"/>
  <c r="A8881" i="1"/>
  <c r="A8882" i="1"/>
  <c r="B8882" i="1"/>
  <c r="A8883" i="1"/>
  <c r="B8883" i="1"/>
  <c r="A8884" i="1"/>
  <c r="B8884" i="1"/>
  <c r="A8885" i="1"/>
  <c r="B8885" i="1"/>
  <c r="A8886" i="1"/>
  <c r="B8886" i="1"/>
  <c r="A8887" i="1"/>
  <c r="A8888" i="1"/>
  <c r="A8889" i="1"/>
  <c r="A8890" i="1"/>
  <c r="B8890" i="1"/>
  <c r="A8891" i="1"/>
  <c r="A8892" i="1"/>
  <c r="B8892" i="1"/>
  <c r="A8893" i="1"/>
  <c r="B8893" i="1"/>
  <c r="A8894" i="1"/>
  <c r="B8894" i="1"/>
  <c r="A8895" i="1"/>
  <c r="A8896" i="1"/>
  <c r="B8896" i="1"/>
  <c r="A8897" i="1"/>
  <c r="B8897" i="1"/>
  <c r="A8898" i="1"/>
  <c r="B8898" i="1"/>
  <c r="A8899" i="1"/>
  <c r="B8899" i="1"/>
  <c r="A8900" i="1"/>
  <c r="B8900" i="1"/>
  <c r="A8901" i="1"/>
  <c r="B8901" i="1"/>
  <c r="A8902" i="1"/>
  <c r="A8903" i="1"/>
  <c r="A8904" i="1"/>
  <c r="B8904" i="1"/>
  <c r="A8905" i="1"/>
  <c r="B8905" i="1"/>
  <c r="A8906" i="1"/>
  <c r="A8907" i="1"/>
  <c r="A8908" i="1"/>
  <c r="B8908" i="1"/>
  <c r="A8909" i="1"/>
  <c r="B8909" i="1"/>
  <c r="A8910" i="1"/>
  <c r="A8911" i="1"/>
  <c r="B8911" i="1"/>
  <c r="A8912" i="1"/>
  <c r="B8912" i="1"/>
  <c r="A8913" i="1"/>
  <c r="B8913" i="1"/>
  <c r="A8914" i="1"/>
  <c r="B8914" i="1"/>
  <c r="A8915" i="1"/>
  <c r="B8915" i="1"/>
  <c r="A8916" i="1"/>
  <c r="B8916" i="1"/>
  <c r="A8917" i="1"/>
  <c r="A8918" i="1"/>
  <c r="B8918" i="1"/>
  <c r="A8919" i="1"/>
  <c r="B8919" i="1"/>
  <c r="A8920" i="1"/>
  <c r="B8920" i="1"/>
  <c r="A8921" i="1"/>
  <c r="B8921" i="1"/>
  <c r="A8922" i="1"/>
  <c r="B8922" i="1"/>
  <c r="A8923" i="1"/>
  <c r="B8923" i="1"/>
  <c r="A8924" i="1"/>
  <c r="B8924" i="1"/>
  <c r="A8925" i="1"/>
  <c r="B8925" i="1"/>
  <c r="A8926" i="1"/>
  <c r="B8926" i="1"/>
  <c r="A8927" i="1"/>
  <c r="B8927" i="1"/>
  <c r="A8928" i="1"/>
  <c r="A8929" i="1"/>
  <c r="B8929" i="1"/>
  <c r="A8930" i="1"/>
  <c r="A8931" i="1"/>
  <c r="B8931" i="1"/>
  <c r="A8932" i="1"/>
  <c r="B8932" i="1"/>
  <c r="A8933" i="1"/>
  <c r="A8934" i="1"/>
  <c r="A8935" i="1"/>
  <c r="B8935" i="1"/>
  <c r="A8936" i="1"/>
  <c r="B8936" i="1"/>
  <c r="A8937" i="1"/>
  <c r="B8937" i="1"/>
  <c r="A8938" i="1"/>
  <c r="B8938" i="1"/>
  <c r="A8939" i="1"/>
  <c r="B8939" i="1"/>
  <c r="A8940" i="1"/>
  <c r="B8940" i="1"/>
  <c r="A8941" i="1"/>
  <c r="A8942" i="1"/>
  <c r="A8943" i="1"/>
  <c r="B8943" i="1"/>
  <c r="A8944" i="1"/>
  <c r="B8944" i="1"/>
  <c r="A8945" i="1"/>
  <c r="B8945" i="1"/>
  <c r="A8946" i="1"/>
  <c r="A8947" i="1"/>
  <c r="B8947" i="1"/>
  <c r="A8948" i="1"/>
  <c r="A8949" i="1"/>
  <c r="B8949" i="1"/>
  <c r="A8950" i="1"/>
  <c r="B8950" i="1"/>
  <c r="A8951" i="1"/>
  <c r="B8951" i="1"/>
  <c r="A8952" i="1"/>
  <c r="B8952" i="1"/>
  <c r="A8953" i="1"/>
  <c r="B8953" i="1"/>
  <c r="A8954" i="1"/>
  <c r="B8954" i="1"/>
  <c r="A8955" i="1"/>
  <c r="B8955" i="1"/>
  <c r="A8956" i="1"/>
  <c r="B8956" i="1"/>
  <c r="A8957" i="1"/>
  <c r="B8957" i="1"/>
  <c r="A8958" i="1"/>
  <c r="B8958" i="1"/>
  <c r="A8959" i="1"/>
  <c r="B8959" i="1"/>
  <c r="A8960" i="1"/>
  <c r="B8960" i="1"/>
  <c r="A8961" i="1"/>
  <c r="B8961" i="1"/>
  <c r="A8962" i="1"/>
  <c r="B8962" i="1"/>
  <c r="A8963" i="1"/>
  <c r="A8964" i="1"/>
  <c r="B8964" i="1"/>
  <c r="A8965" i="1"/>
  <c r="A8966" i="1"/>
  <c r="B8966" i="1"/>
  <c r="A8967" i="1"/>
  <c r="B8967" i="1"/>
  <c r="A8968" i="1"/>
  <c r="B8968" i="1"/>
  <c r="A8969" i="1"/>
  <c r="B8969" i="1"/>
  <c r="A8970" i="1"/>
  <c r="B8970" i="1"/>
  <c r="A8971" i="1"/>
  <c r="B8971" i="1"/>
  <c r="A8972" i="1"/>
  <c r="B8972" i="1"/>
  <c r="A8973" i="1"/>
  <c r="A8974" i="1"/>
  <c r="A8975" i="1"/>
  <c r="A8976" i="1"/>
  <c r="B8976" i="1"/>
  <c r="A8977" i="1"/>
  <c r="B8977" i="1"/>
  <c r="A8978" i="1"/>
  <c r="B8978" i="1"/>
  <c r="A8979" i="1"/>
  <c r="B8979" i="1"/>
  <c r="A8980" i="1"/>
  <c r="B8980" i="1"/>
  <c r="A8981" i="1"/>
  <c r="B8981" i="1"/>
  <c r="A8982" i="1"/>
  <c r="B8982" i="1"/>
  <c r="A8983" i="1"/>
  <c r="B8983" i="1"/>
  <c r="A8984" i="1"/>
  <c r="B8984" i="1"/>
  <c r="A8985" i="1"/>
  <c r="B8985" i="1"/>
  <c r="A8986" i="1"/>
  <c r="B8986" i="1"/>
  <c r="A8987" i="1"/>
  <c r="B8987" i="1"/>
  <c r="A8988" i="1"/>
  <c r="B8988" i="1"/>
  <c r="A8989" i="1"/>
  <c r="B8989" i="1"/>
  <c r="A8990" i="1"/>
  <c r="B8990" i="1"/>
  <c r="A8991" i="1"/>
  <c r="B8991" i="1"/>
  <c r="A8992" i="1"/>
  <c r="B8992" i="1"/>
  <c r="A8993" i="1"/>
  <c r="A8994" i="1"/>
  <c r="B8994" i="1"/>
  <c r="A8995" i="1"/>
  <c r="B8995" i="1"/>
  <c r="A8996" i="1"/>
  <c r="B8996" i="1"/>
  <c r="A8997" i="1"/>
  <c r="A8998" i="1"/>
  <c r="B8998" i="1"/>
  <c r="A8999" i="1"/>
  <c r="B8999" i="1"/>
  <c r="A9000" i="1"/>
  <c r="A9001" i="1"/>
  <c r="B9001" i="1"/>
  <c r="A9002" i="1"/>
  <c r="B9002" i="1"/>
  <c r="A9003" i="1"/>
  <c r="B9003" i="1"/>
  <c r="A9004" i="1"/>
  <c r="B9004" i="1"/>
  <c r="A9005" i="1"/>
  <c r="B9005" i="1"/>
  <c r="A9006" i="1"/>
  <c r="B9006" i="1"/>
  <c r="A9007" i="1"/>
  <c r="A9008" i="1"/>
  <c r="B9008" i="1"/>
  <c r="A9009" i="1"/>
  <c r="B9009" i="1"/>
  <c r="A9010" i="1"/>
  <c r="B9010" i="1"/>
  <c r="A9011" i="1"/>
  <c r="B9011" i="1"/>
  <c r="A9012" i="1"/>
  <c r="B9012" i="1"/>
  <c r="A9013" i="1"/>
  <c r="A9014" i="1"/>
  <c r="B9014" i="1"/>
  <c r="A9015" i="1"/>
  <c r="B9015" i="1"/>
  <c r="A9016" i="1"/>
  <c r="B9016" i="1"/>
  <c r="A9017" i="1"/>
  <c r="B9017" i="1"/>
  <c r="A9018" i="1"/>
  <c r="B9018" i="1"/>
  <c r="A9019" i="1"/>
  <c r="B9019" i="1"/>
  <c r="A9020" i="1"/>
  <c r="B9020" i="1"/>
  <c r="A9021" i="1"/>
  <c r="A9022" i="1"/>
  <c r="B9022" i="1"/>
  <c r="A9023" i="1"/>
  <c r="B9023" i="1"/>
  <c r="A9024" i="1"/>
  <c r="B9024" i="1"/>
  <c r="A9025" i="1"/>
  <c r="B9025" i="1"/>
  <c r="A9026" i="1"/>
  <c r="B9026" i="1"/>
  <c r="A9027" i="1"/>
  <c r="B9027" i="1"/>
  <c r="A9028" i="1"/>
  <c r="B9028" i="1"/>
  <c r="A9029" i="1"/>
  <c r="B9029" i="1"/>
  <c r="A9030" i="1"/>
  <c r="A9031" i="1"/>
  <c r="B9031" i="1"/>
  <c r="A9032" i="1"/>
  <c r="B9032" i="1"/>
  <c r="A9033" i="1"/>
  <c r="B9033" i="1"/>
  <c r="A9034" i="1"/>
  <c r="B9034" i="1"/>
  <c r="A9035" i="1"/>
  <c r="B9035" i="1"/>
  <c r="A9036" i="1"/>
  <c r="B9036" i="1"/>
  <c r="A9037" i="1"/>
  <c r="B9037" i="1"/>
  <c r="A9038" i="1"/>
  <c r="B9038" i="1"/>
  <c r="A9039" i="1"/>
  <c r="B9039" i="1"/>
  <c r="A9040" i="1"/>
  <c r="A9041" i="1"/>
  <c r="B9041" i="1"/>
  <c r="A9042" i="1"/>
  <c r="B9042" i="1"/>
  <c r="A9043" i="1"/>
  <c r="B9043" i="1"/>
  <c r="A9044" i="1"/>
  <c r="B9044" i="1"/>
  <c r="A9045" i="1"/>
  <c r="B9045" i="1"/>
  <c r="A9046" i="1"/>
  <c r="B9046" i="1"/>
  <c r="A9047" i="1"/>
  <c r="B9047" i="1"/>
  <c r="A9048" i="1"/>
  <c r="B9048" i="1"/>
  <c r="A9049" i="1"/>
  <c r="A9050" i="1"/>
  <c r="B9050" i="1"/>
  <c r="A9051" i="1"/>
  <c r="B9051" i="1"/>
  <c r="A9052" i="1"/>
  <c r="B9052" i="1"/>
  <c r="A9053" i="1"/>
  <c r="B9053" i="1"/>
  <c r="A9054" i="1"/>
  <c r="B9054" i="1"/>
  <c r="A9055" i="1"/>
  <c r="B9055" i="1"/>
  <c r="A9056" i="1"/>
  <c r="A9057" i="1"/>
  <c r="B9057" i="1"/>
  <c r="A9058" i="1"/>
  <c r="B9058" i="1"/>
  <c r="A9059" i="1"/>
  <c r="B9059" i="1"/>
  <c r="A9060" i="1"/>
  <c r="B9060" i="1"/>
  <c r="A9061" i="1"/>
  <c r="B9061" i="1"/>
  <c r="A9062" i="1"/>
  <c r="B9062" i="1"/>
  <c r="A9063" i="1"/>
  <c r="B9063" i="1"/>
  <c r="A9064" i="1"/>
  <c r="A9065" i="1"/>
  <c r="B9065" i="1"/>
  <c r="A9066" i="1"/>
  <c r="B9066" i="1"/>
  <c r="A9067" i="1"/>
  <c r="B9067" i="1"/>
  <c r="A9068" i="1"/>
  <c r="B9068" i="1"/>
  <c r="A9069" i="1"/>
  <c r="B9069" i="1"/>
  <c r="A9070" i="1"/>
  <c r="A9071" i="1"/>
  <c r="B9071" i="1"/>
  <c r="A9072" i="1"/>
  <c r="B9072" i="1"/>
  <c r="A9073" i="1"/>
  <c r="B9073" i="1"/>
  <c r="A9074" i="1"/>
  <c r="B9074" i="1"/>
  <c r="A9075" i="1"/>
  <c r="B9075" i="1"/>
  <c r="A9076" i="1"/>
  <c r="A9077" i="1"/>
  <c r="B9077" i="1"/>
  <c r="A9078" i="1"/>
  <c r="B9078" i="1"/>
  <c r="A9079" i="1"/>
  <c r="B9079" i="1"/>
  <c r="A9080" i="1"/>
  <c r="B9080" i="1"/>
  <c r="A9081" i="1"/>
  <c r="A9082" i="1"/>
  <c r="B9082" i="1"/>
  <c r="A9083" i="1"/>
  <c r="A9084" i="1"/>
  <c r="B9084" i="1"/>
  <c r="A9085" i="1"/>
  <c r="B9085" i="1"/>
  <c r="A9086" i="1"/>
  <c r="B9086" i="1"/>
  <c r="A9087" i="1"/>
  <c r="B9087" i="1"/>
  <c r="A9088" i="1"/>
  <c r="B9088" i="1"/>
  <c r="A9089" i="1"/>
  <c r="B9089" i="1"/>
  <c r="A9090" i="1"/>
  <c r="B9090" i="1"/>
  <c r="A9091" i="1"/>
  <c r="B9091" i="1"/>
  <c r="A9092" i="1"/>
  <c r="B9092" i="1"/>
  <c r="A9093" i="1"/>
  <c r="B9093" i="1"/>
  <c r="A9094" i="1"/>
  <c r="A9095" i="1"/>
  <c r="B9095" i="1"/>
  <c r="A9096" i="1"/>
  <c r="B9096" i="1"/>
  <c r="A9097" i="1"/>
  <c r="A9098" i="1"/>
  <c r="A9099" i="1"/>
  <c r="B9099" i="1"/>
  <c r="A9100" i="1"/>
  <c r="B9100" i="1"/>
  <c r="A9101" i="1"/>
  <c r="B9101" i="1"/>
  <c r="A9102" i="1"/>
  <c r="B9102" i="1"/>
  <c r="A9103" i="1"/>
  <c r="B9103" i="1"/>
  <c r="A9104" i="1"/>
  <c r="B9104" i="1"/>
  <c r="A9105" i="1"/>
  <c r="A9106" i="1"/>
  <c r="B9106" i="1"/>
  <c r="A9107" i="1"/>
  <c r="B9107" i="1"/>
  <c r="A9108" i="1"/>
  <c r="B9108" i="1"/>
  <c r="A9109" i="1"/>
  <c r="B9109" i="1"/>
  <c r="A9110" i="1"/>
  <c r="A9111" i="1"/>
  <c r="A9112" i="1"/>
  <c r="B9112" i="1"/>
  <c r="A9113" i="1"/>
  <c r="A9114" i="1"/>
  <c r="B9114" i="1"/>
  <c r="A9115" i="1"/>
  <c r="B9115" i="1"/>
  <c r="A9116" i="1"/>
  <c r="B9116" i="1"/>
  <c r="A9117" i="1"/>
  <c r="B9117" i="1"/>
  <c r="A9118" i="1"/>
  <c r="B9118" i="1"/>
  <c r="A9119" i="1"/>
  <c r="B9119" i="1"/>
  <c r="A9120" i="1"/>
  <c r="B9120" i="1"/>
  <c r="A9121" i="1"/>
  <c r="B9121" i="1"/>
  <c r="A9122" i="1"/>
  <c r="B9122" i="1"/>
  <c r="A9123" i="1"/>
  <c r="B9123" i="1"/>
  <c r="A9124" i="1"/>
  <c r="B9124" i="1"/>
  <c r="A9125" i="1"/>
  <c r="B9125" i="1"/>
  <c r="A9126" i="1"/>
  <c r="B9126" i="1"/>
  <c r="A9127" i="1"/>
  <c r="B9127" i="1"/>
  <c r="A9128" i="1"/>
  <c r="B9128" i="1"/>
  <c r="A9129" i="1"/>
  <c r="B9129" i="1"/>
  <c r="A9130" i="1"/>
  <c r="B9130" i="1"/>
  <c r="A9131" i="1"/>
  <c r="B9131" i="1"/>
  <c r="A9132" i="1"/>
  <c r="B9132" i="1"/>
  <c r="A9133" i="1"/>
  <c r="B9133" i="1"/>
  <c r="A9134" i="1"/>
  <c r="B9134" i="1"/>
  <c r="A9135" i="1"/>
  <c r="B9135" i="1"/>
  <c r="A9136" i="1"/>
  <c r="B9136" i="1"/>
  <c r="A9137" i="1"/>
  <c r="B9137" i="1"/>
  <c r="A9138" i="1"/>
  <c r="A9139" i="1"/>
  <c r="B9139" i="1"/>
  <c r="A9140" i="1"/>
  <c r="B9140" i="1"/>
  <c r="A9141" i="1"/>
  <c r="B9141" i="1"/>
  <c r="A9142" i="1"/>
  <c r="A9143" i="1"/>
  <c r="B9143" i="1"/>
  <c r="A9144" i="1"/>
  <c r="B9144" i="1"/>
  <c r="A9145" i="1"/>
  <c r="B9145" i="1"/>
  <c r="A9146" i="1"/>
  <c r="B9146" i="1"/>
  <c r="A9147" i="1"/>
  <c r="A9148" i="1"/>
  <c r="B9148" i="1"/>
  <c r="A9149" i="1"/>
  <c r="B9149" i="1"/>
  <c r="A9150" i="1"/>
  <c r="B9150" i="1"/>
  <c r="A9151" i="1"/>
  <c r="A9152" i="1"/>
  <c r="B9152" i="1"/>
  <c r="A9153" i="1"/>
  <c r="B9153" i="1"/>
  <c r="A9154" i="1"/>
  <c r="B9154" i="1"/>
  <c r="A9155" i="1"/>
  <c r="B9155" i="1"/>
  <c r="A9156" i="1"/>
  <c r="A9157" i="1"/>
  <c r="B9157" i="1"/>
  <c r="A9158" i="1"/>
  <c r="B9158" i="1"/>
  <c r="A9159" i="1"/>
  <c r="B9159" i="1"/>
  <c r="A9160" i="1"/>
  <c r="B9160" i="1"/>
  <c r="A9161" i="1"/>
  <c r="B9161" i="1"/>
  <c r="A9162" i="1"/>
  <c r="B9162" i="1"/>
  <c r="A9163" i="1"/>
  <c r="B9163" i="1"/>
  <c r="A9164" i="1"/>
  <c r="B9164" i="1"/>
  <c r="A9165" i="1"/>
  <c r="B9165" i="1"/>
  <c r="A9166" i="1"/>
  <c r="B9166" i="1"/>
  <c r="A9167" i="1"/>
  <c r="B9167" i="1"/>
  <c r="A9168" i="1"/>
  <c r="B9168" i="1"/>
  <c r="A9169" i="1"/>
  <c r="B9169" i="1"/>
  <c r="A9170" i="1"/>
  <c r="B9170" i="1"/>
  <c r="A9171" i="1"/>
  <c r="B9171" i="1"/>
  <c r="A9172" i="1"/>
  <c r="B9172" i="1"/>
  <c r="A9173" i="1"/>
  <c r="B9173" i="1"/>
  <c r="A9174" i="1"/>
  <c r="B9174" i="1"/>
  <c r="A9175" i="1"/>
  <c r="B9175" i="1"/>
  <c r="A9176" i="1"/>
  <c r="B9176" i="1"/>
  <c r="A9177" i="1"/>
  <c r="B9177" i="1"/>
  <c r="A9178" i="1"/>
  <c r="B9178" i="1"/>
  <c r="A9179" i="1"/>
  <c r="B9179" i="1"/>
  <c r="A9180" i="1"/>
  <c r="B9180" i="1"/>
  <c r="A9181" i="1"/>
  <c r="B9181" i="1"/>
  <c r="A9182" i="1"/>
  <c r="B9182" i="1"/>
  <c r="A9183" i="1"/>
  <c r="B9183" i="1"/>
  <c r="A9184" i="1"/>
  <c r="B9184" i="1"/>
  <c r="A9185" i="1"/>
  <c r="B9185" i="1"/>
  <c r="A9186" i="1"/>
  <c r="A9187" i="1"/>
  <c r="B9187" i="1"/>
  <c r="A9188" i="1"/>
  <c r="B9188" i="1"/>
  <c r="A9189" i="1"/>
  <c r="A9190" i="1"/>
  <c r="A9191" i="1"/>
  <c r="A9192" i="1"/>
  <c r="B9192" i="1"/>
  <c r="A9193" i="1"/>
  <c r="B9193" i="1"/>
  <c r="A9194" i="1"/>
  <c r="B9194" i="1"/>
  <c r="A9195" i="1"/>
  <c r="B9195" i="1"/>
  <c r="A9196" i="1"/>
  <c r="B9196" i="1"/>
  <c r="A9197" i="1"/>
  <c r="B9197" i="1"/>
  <c r="A9198" i="1"/>
  <c r="A9199" i="1"/>
  <c r="A9200" i="1"/>
  <c r="B9200" i="1"/>
  <c r="A9201" i="1"/>
  <c r="B9201" i="1"/>
  <c r="A9202" i="1"/>
  <c r="B9202" i="1"/>
  <c r="A9203" i="1"/>
  <c r="A9204" i="1"/>
  <c r="A9205" i="1"/>
  <c r="B9205" i="1"/>
  <c r="A9206" i="1"/>
  <c r="B9206" i="1"/>
  <c r="A9207" i="1"/>
  <c r="B9207" i="1"/>
  <c r="A9208" i="1"/>
  <c r="B9208" i="1"/>
  <c r="A9209" i="1"/>
  <c r="B9209" i="1"/>
  <c r="A9210" i="1"/>
  <c r="A9211" i="1"/>
  <c r="B9211" i="1"/>
  <c r="A9212" i="1"/>
  <c r="B9212" i="1"/>
  <c r="A9213" i="1"/>
  <c r="B9213" i="1"/>
  <c r="A9214" i="1"/>
  <c r="B9214" i="1"/>
  <c r="A9215" i="1"/>
  <c r="A9216" i="1"/>
  <c r="B9216" i="1"/>
  <c r="A9217" i="1"/>
  <c r="B9217" i="1"/>
  <c r="A9218" i="1"/>
  <c r="B9218" i="1"/>
  <c r="A9219" i="1"/>
  <c r="B9219" i="1"/>
  <c r="A9220" i="1"/>
  <c r="B9220" i="1"/>
  <c r="A9221" i="1"/>
  <c r="B9221" i="1"/>
  <c r="A9222" i="1"/>
  <c r="A9223" i="1"/>
  <c r="A9224" i="1"/>
  <c r="B9224" i="1"/>
  <c r="A9225" i="1"/>
  <c r="B9225" i="1"/>
  <c r="A9226" i="1"/>
  <c r="B9226" i="1"/>
  <c r="A9227" i="1"/>
  <c r="B9227" i="1"/>
  <c r="A9228" i="1"/>
  <c r="A9229" i="1"/>
  <c r="A9230" i="1"/>
  <c r="A9231" i="1"/>
  <c r="B9231" i="1"/>
  <c r="A9232" i="1"/>
  <c r="B9232" i="1"/>
  <c r="A9233" i="1"/>
  <c r="B9233" i="1"/>
  <c r="A9234" i="1"/>
  <c r="B9234" i="1"/>
  <c r="A9235" i="1"/>
  <c r="B9235" i="1"/>
  <c r="A9236" i="1"/>
  <c r="B9236" i="1"/>
  <c r="A9237" i="1"/>
  <c r="B9237" i="1"/>
  <c r="A9238" i="1"/>
  <c r="A9239" i="1"/>
  <c r="A9240" i="1"/>
  <c r="B9240" i="1"/>
  <c r="A9241" i="1"/>
  <c r="B9241" i="1"/>
  <c r="A9242" i="1"/>
  <c r="B9242" i="1"/>
  <c r="A9243" i="1"/>
  <c r="A9244" i="1"/>
  <c r="B9244" i="1"/>
  <c r="A9245" i="1"/>
  <c r="B9245" i="1"/>
  <c r="A9246" i="1"/>
  <c r="B9246" i="1"/>
  <c r="A9247" i="1"/>
  <c r="B9247" i="1"/>
  <c r="A9248" i="1"/>
  <c r="B9248" i="1"/>
  <c r="A9249" i="1"/>
  <c r="B9249" i="1"/>
  <c r="A9250" i="1"/>
  <c r="A9251" i="1"/>
  <c r="B9251" i="1"/>
  <c r="A9252" i="1"/>
  <c r="B9252" i="1"/>
  <c r="A9253" i="1"/>
  <c r="B9253" i="1"/>
  <c r="A9254" i="1"/>
  <c r="B9254" i="1"/>
  <c r="A9255" i="1"/>
  <c r="B9255" i="1"/>
  <c r="A9256" i="1"/>
  <c r="B9256" i="1"/>
  <c r="A9257" i="1"/>
  <c r="B9257" i="1"/>
  <c r="A9258" i="1"/>
  <c r="B9258" i="1"/>
  <c r="A9259" i="1"/>
  <c r="B9259" i="1"/>
  <c r="A9260" i="1"/>
  <c r="B9260" i="1"/>
  <c r="A9261" i="1"/>
  <c r="B9261" i="1"/>
  <c r="A9262" i="1"/>
  <c r="B9262" i="1"/>
  <c r="A9263" i="1"/>
  <c r="B9263" i="1"/>
  <c r="A9264" i="1"/>
  <c r="B9264" i="1"/>
  <c r="A9265" i="1"/>
  <c r="B9265" i="1"/>
  <c r="A9266" i="1"/>
  <c r="A9267" i="1"/>
  <c r="A9268" i="1"/>
  <c r="A9269" i="1"/>
  <c r="A9270" i="1"/>
  <c r="A9271" i="1"/>
  <c r="A9272" i="1"/>
  <c r="A9273" i="1"/>
  <c r="B9273" i="1"/>
  <c r="A9274" i="1"/>
  <c r="B9274" i="1"/>
  <c r="A9275" i="1"/>
  <c r="B9275" i="1"/>
  <c r="A9276" i="1"/>
  <c r="B9276" i="1"/>
  <c r="A9277" i="1"/>
  <c r="B9277" i="1"/>
  <c r="A9278" i="1"/>
  <c r="B9278" i="1"/>
  <c r="A9279" i="1"/>
  <c r="B9279" i="1"/>
  <c r="A9280" i="1"/>
  <c r="A9281" i="1"/>
  <c r="B9281" i="1"/>
  <c r="A9282" i="1"/>
  <c r="A9283" i="1"/>
  <c r="B9283" i="1"/>
  <c r="A9284" i="1"/>
  <c r="A9285" i="1"/>
  <c r="B9285" i="1"/>
  <c r="A9286" i="1"/>
  <c r="B9286" i="1"/>
  <c r="A9287" i="1"/>
  <c r="B9287" i="1"/>
  <c r="A9288" i="1"/>
  <c r="B9288" i="1"/>
  <c r="A9289" i="1"/>
  <c r="B9289" i="1"/>
  <c r="A9290" i="1"/>
  <c r="B9290" i="1"/>
  <c r="A9291" i="1"/>
  <c r="B9291" i="1"/>
  <c r="A9292" i="1"/>
  <c r="B9292" i="1"/>
  <c r="A9293" i="1"/>
  <c r="B9293" i="1"/>
  <c r="A9294" i="1"/>
  <c r="B9294" i="1"/>
  <c r="A9295" i="1"/>
  <c r="B9295" i="1"/>
  <c r="A9296" i="1"/>
  <c r="B9296" i="1"/>
  <c r="A9297" i="1"/>
  <c r="B9297" i="1"/>
  <c r="A9298" i="1"/>
  <c r="B9298" i="1"/>
  <c r="A9299" i="1"/>
  <c r="B9299" i="1"/>
  <c r="A9300" i="1"/>
  <c r="B9300" i="1"/>
  <c r="A9301" i="1"/>
  <c r="B9301" i="1"/>
  <c r="A9302" i="1"/>
  <c r="B9302" i="1"/>
  <c r="A9303" i="1"/>
  <c r="B9303" i="1"/>
  <c r="A9304" i="1"/>
  <c r="A9305" i="1"/>
  <c r="B9305" i="1"/>
  <c r="A9306" i="1"/>
  <c r="B9306" i="1"/>
  <c r="A9307" i="1"/>
  <c r="B9307" i="1"/>
  <c r="A9308" i="1"/>
  <c r="B9308" i="1"/>
  <c r="A9309" i="1"/>
  <c r="A9310" i="1"/>
  <c r="A9311" i="1"/>
  <c r="A9312" i="1"/>
  <c r="A9313" i="1"/>
  <c r="B9313" i="1"/>
  <c r="A9314" i="1"/>
  <c r="A9315" i="1"/>
  <c r="A9316" i="1"/>
  <c r="A9317" i="1"/>
  <c r="A9318" i="1"/>
  <c r="B9318" i="1"/>
  <c r="A9319" i="1"/>
  <c r="A9320" i="1"/>
  <c r="A9321" i="1"/>
  <c r="B9321" i="1"/>
  <c r="A9322" i="1"/>
  <c r="B9322" i="1"/>
  <c r="A9323" i="1"/>
  <c r="B9323" i="1"/>
  <c r="A9324" i="1"/>
  <c r="A9325" i="1"/>
  <c r="A9326" i="1"/>
  <c r="B9326" i="1"/>
  <c r="A9327" i="1"/>
  <c r="B9327" i="1"/>
  <c r="A9328" i="1"/>
  <c r="A9329" i="1"/>
  <c r="A9330" i="1"/>
  <c r="A9331" i="1"/>
  <c r="B9331" i="1"/>
  <c r="A9332" i="1"/>
  <c r="B9332" i="1"/>
  <c r="A9333" i="1"/>
  <c r="A9334" i="1"/>
  <c r="A9335" i="1"/>
  <c r="A9336" i="1"/>
  <c r="A9337" i="1"/>
  <c r="A9338" i="1"/>
  <c r="A9339" i="1"/>
  <c r="A9340" i="1"/>
  <c r="A9341" i="1"/>
  <c r="B9341" i="1"/>
  <c r="A9342" i="1"/>
  <c r="B9342" i="1"/>
  <c r="A9343" i="1"/>
  <c r="B9343" i="1"/>
  <c r="A9344" i="1"/>
  <c r="B9344" i="1"/>
  <c r="A9345" i="1"/>
  <c r="B9345" i="1"/>
  <c r="A9346" i="1"/>
  <c r="B9346" i="1"/>
  <c r="A9347" i="1"/>
  <c r="B9347" i="1"/>
  <c r="A9348" i="1"/>
  <c r="B9348" i="1"/>
  <c r="A9349" i="1"/>
  <c r="B9349" i="1"/>
  <c r="A9350" i="1"/>
  <c r="B9350" i="1"/>
  <c r="A9351" i="1"/>
  <c r="B9351" i="1"/>
  <c r="A9352" i="1"/>
  <c r="B9352" i="1"/>
  <c r="A9353" i="1"/>
  <c r="B9353" i="1"/>
  <c r="A9354" i="1"/>
  <c r="A9355" i="1"/>
  <c r="B9355" i="1"/>
  <c r="A9356" i="1"/>
  <c r="B9356" i="1"/>
  <c r="A9357" i="1"/>
  <c r="B9357" i="1"/>
  <c r="A9358" i="1"/>
  <c r="B9358" i="1"/>
  <c r="A9359" i="1"/>
  <c r="B9359" i="1"/>
  <c r="A9360" i="1"/>
  <c r="B9360" i="1"/>
  <c r="A9361" i="1"/>
  <c r="B9361" i="1"/>
  <c r="A9362" i="1"/>
  <c r="B9362" i="1"/>
  <c r="A9363" i="1"/>
  <c r="B9363" i="1"/>
  <c r="A9364" i="1"/>
  <c r="B9364" i="1"/>
  <c r="A9365" i="1"/>
  <c r="B9365" i="1"/>
  <c r="A9366" i="1"/>
  <c r="B9366" i="1"/>
  <c r="A9367" i="1"/>
  <c r="B9367" i="1"/>
  <c r="A9368" i="1"/>
  <c r="B9368" i="1"/>
  <c r="A9369" i="1"/>
  <c r="B9369" i="1"/>
  <c r="A9370" i="1"/>
  <c r="B9370" i="1"/>
  <c r="A9371" i="1"/>
  <c r="B9371" i="1"/>
  <c r="A9372" i="1"/>
  <c r="B9372" i="1"/>
  <c r="A9373" i="1"/>
  <c r="B9373" i="1"/>
  <c r="A9374" i="1"/>
  <c r="B9374" i="1"/>
  <c r="A9375" i="1"/>
  <c r="A9376" i="1"/>
  <c r="B9376" i="1"/>
  <c r="A9377" i="1"/>
  <c r="B9377" i="1"/>
  <c r="A9378" i="1"/>
  <c r="B9378" i="1"/>
  <c r="A9379" i="1"/>
  <c r="B9379" i="1"/>
  <c r="A9380" i="1"/>
  <c r="B9380" i="1"/>
  <c r="A9381" i="1"/>
  <c r="B9381" i="1"/>
  <c r="A9382" i="1"/>
  <c r="A9383" i="1"/>
  <c r="A9384" i="1"/>
  <c r="B9384" i="1"/>
  <c r="A9385" i="1"/>
  <c r="B9385" i="1"/>
  <c r="A9386" i="1"/>
  <c r="A9387" i="1"/>
  <c r="A9388" i="1"/>
  <c r="A9389" i="1"/>
  <c r="A9390" i="1"/>
  <c r="B9390" i="1"/>
  <c r="A9391" i="1"/>
  <c r="A9392" i="1"/>
  <c r="A9393" i="1"/>
  <c r="B9393" i="1"/>
  <c r="A9394" i="1"/>
  <c r="B9394" i="1"/>
  <c r="A9395" i="1"/>
  <c r="B9395" i="1"/>
  <c r="A9396" i="1"/>
  <c r="B9396" i="1"/>
  <c r="A9397" i="1"/>
  <c r="A9398" i="1"/>
  <c r="A9399" i="1"/>
  <c r="B9399" i="1"/>
  <c r="A9400" i="1"/>
  <c r="B9400" i="1"/>
  <c r="A9401" i="1"/>
  <c r="B9401" i="1"/>
  <c r="A9402" i="1"/>
  <c r="B9402" i="1"/>
  <c r="A9403" i="1"/>
  <c r="B9403" i="1"/>
  <c r="A9404" i="1"/>
  <c r="A9405" i="1"/>
  <c r="B9405" i="1"/>
  <c r="A9406" i="1"/>
  <c r="B9406" i="1"/>
  <c r="A9407" i="1"/>
  <c r="B9407" i="1"/>
  <c r="A9408" i="1"/>
  <c r="B9408" i="1"/>
  <c r="A9409" i="1"/>
  <c r="B9409" i="1"/>
  <c r="A9410" i="1"/>
  <c r="B9410" i="1"/>
  <c r="A9411" i="1"/>
  <c r="B9411" i="1"/>
  <c r="A9412" i="1"/>
  <c r="B9412" i="1"/>
  <c r="A9413" i="1"/>
  <c r="B9413" i="1"/>
  <c r="A9414" i="1"/>
  <c r="B9414" i="1"/>
  <c r="A9415" i="1"/>
  <c r="B9415" i="1"/>
  <c r="A9416" i="1"/>
  <c r="B9416" i="1"/>
  <c r="A9417" i="1"/>
  <c r="A9418" i="1"/>
  <c r="B9418" i="1"/>
  <c r="A9419" i="1"/>
  <c r="B9419" i="1"/>
  <c r="A9420" i="1"/>
  <c r="A9421" i="1"/>
  <c r="A9422" i="1"/>
  <c r="A9423" i="1"/>
  <c r="B9423" i="1"/>
  <c r="A9424" i="1"/>
  <c r="B9424" i="1"/>
  <c r="A9425" i="1"/>
  <c r="A9426" i="1"/>
  <c r="B9426" i="1"/>
  <c r="A9427" i="1"/>
  <c r="B9427" i="1"/>
  <c r="A9428" i="1"/>
  <c r="B9428" i="1"/>
  <c r="A9429" i="1"/>
  <c r="B9429" i="1"/>
  <c r="A9430" i="1"/>
  <c r="A9431" i="1"/>
  <c r="A9432" i="1"/>
  <c r="B9432" i="1"/>
  <c r="A9433" i="1"/>
  <c r="B9433" i="1"/>
  <c r="A9434" i="1"/>
  <c r="B9434" i="1"/>
  <c r="A9435" i="1"/>
  <c r="B9435" i="1"/>
  <c r="A9436" i="1"/>
  <c r="B9436" i="1"/>
  <c r="A9437" i="1"/>
  <c r="B9437" i="1"/>
  <c r="A9438" i="1"/>
  <c r="B9438" i="1"/>
  <c r="A9439" i="1"/>
  <c r="B9439" i="1"/>
  <c r="A9440" i="1"/>
  <c r="B9440" i="1"/>
  <c r="A9441" i="1"/>
  <c r="B9441" i="1"/>
  <c r="A9442" i="1"/>
  <c r="A9443" i="1"/>
  <c r="B9443" i="1"/>
  <c r="A9444" i="1"/>
  <c r="B9444" i="1"/>
  <c r="A9445" i="1"/>
  <c r="B9445" i="1"/>
  <c r="A9446" i="1"/>
  <c r="B9446" i="1"/>
  <c r="A9447" i="1"/>
  <c r="B9447" i="1"/>
  <c r="A9448" i="1"/>
  <c r="B9448" i="1"/>
  <c r="A9449" i="1"/>
  <c r="A9450" i="1"/>
  <c r="A9451" i="1"/>
  <c r="B9451" i="1"/>
  <c r="A9452" i="1"/>
  <c r="A9453" i="1"/>
  <c r="B9453" i="1"/>
  <c r="A9454" i="1"/>
  <c r="B9454" i="1"/>
  <c r="A9455" i="1"/>
  <c r="A9456" i="1"/>
  <c r="A9457" i="1"/>
  <c r="B9457" i="1"/>
  <c r="A9458" i="1"/>
  <c r="A9459" i="1"/>
  <c r="B9459" i="1"/>
  <c r="A9460" i="1"/>
  <c r="B9460" i="1"/>
  <c r="A9461" i="1"/>
  <c r="A9462" i="1"/>
  <c r="B9462" i="1"/>
  <c r="A9463" i="1"/>
  <c r="A9464" i="1"/>
  <c r="B9464" i="1"/>
  <c r="A9465" i="1"/>
  <c r="A9466" i="1"/>
  <c r="B9466" i="1"/>
  <c r="A9467" i="1"/>
  <c r="B9467" i="1"/>
  <c r="A9468" i="1"/>
  <c r="B9468" i="1"/>
  <c r="A9469" i="1"/>
  <c r="B9469" i="1"/>
  <c r="A9470" i="1"/>
  <c r="B9470" i="1"/>
  <c r="A9471" i="1"/>
  <c r="B9471" i="1"/>
  <c r="A9472" i="1"/>
  <c r="A9473" i="1"/>
  <c r="B9473" i="1"/>
  <c r="A9474" i="1"/>
  <c r="B9474" i="1"/>
  <c r="A9475" i="1"/>
  <c r="B9475" i="1"/>
  <c r="A9476" i="1"/>
  <c r="B9476" i="1"/>
  <c r="A9477" i="1"/>
  <c r="B9477" i="1"/>
  <c r="A9478" i="1"/>
  <c r="B9478" i="1"/>
  <c r="A9479" i="1"/>
  <c r="A9480" i="1"/>
  <c r="B9480" i="1"/>
  <c r="A9481" i="1"/>
  <c r="A9482" i="1"/>
  <c r="A9483" i="1"/>
  <c r="A9484" i="1"/>
  <c r="A9485" i="1"/>
  <c r="A9486" i="1"/>
  <c r="B9486" i="1"/>
  <c r="A9487" i="1"/>
  <c r="B9487" i="1"/>
  <c r="A9488" i="1"/>
  <c r="A9489" i="1"/>
  <c r="B9489" i="1"/>
  <c r="A9490" i="1"/>
  <c r="A9491" i="1"/>
  <c r="B9491" i="1"/>
  <c r="A9492" i="1"/>
  <c r="B9492" i="1"/>
  <c r="A9493" i="1"/>
  <c r="B9493" i="1"/>
  <c r="A9494" i="1"/>
  <c r="B9494" i="1"/>
  <c r="A9495" i="1"/>
  <c r="B9495" i="1"/>
  <c r="A9496" i="1"/>
  <c r="B9496" i="1"/>
  <c r="A9497" i="1"/>
  <c r="B9497" i="1"/>
  <c r="A9498" i="1"/>
  <c r="B9498" i="1"/>
  <c r="A9499" i="1"/>
  <c r="A9500" i="1"/>
  <c r="B9500" i="1"/>
  <c r="A9501" i="1"/>
  <c r="B9501" i="1"/>
  <c r="A9502" i="1"/>
  <c r="B9502" i="1"/>
  <c r="A9503" i="1"/>
  <c r="B9503" i="1"/>
  <c r="A9504" i="1"/>
  <c r="B9504" i="1"/>
  <c r="A9505" i="1"/>
  <c r="B9505" i="1"/>
  <c r="A9506" i="1"/>
  <c r="B9506" i="1"/>
  <c r="A9507" i="1"/>
  <c r="A9508" i="1"/>
  <c r="B9508" i="1"/>
  <c r="A9509" i="1"/>
  <c r="B9509" i="1"/>
  <c r="A9510" i="1"/>
  <c r="A9511" i="1"/>
  <c r="A9512" i="1"/>
  <c r="B9512" i="1"/>
  <c r="A9513" i="1"/>
  <c r="B9513" i="1"/>
  <c r="A9514" i="1"/>
  <c r="B9514" i="1"/>
  <c r="A9515" i="1"/>
  <c r="B9515" i="1"/>
  <c r="A9516" i="1"/>
  <c r="B9516" i="1"/>
  <c r="A9517" i="1"/>
  <c r="A9518" i="1"/>
  <c r="B9518" i="1"/>
  <c r="A9519" i="1"/>
  <c r="B9519" i="1"/>
  <c r="A9520" i="1"/>
  <c r="B9520" i="1"/>
  <c r="A9521" i="1"/>
  <c r="B9521" i="1"/>
  <c r="A9522" i="1"/>
  <c r="A9523" i="1"/>
  <c r="B9523" i="1"/>
  <c r="A9524" i="1"/>
  <c r="A9525" i="1"/>
  <c r="A9526" i="1"/>
  <c r="A9527" i="1"/>
  <c r="A9528" i="1"/>
  <c r="B9528" i="1"/>
  <c r="A9529" i="1"/>
  <c r="B9529" i="1"/>
  <c r="A9530" i="1"/>
  <c r="B9530" i="1"/>
  <c r="A9531" i="1"/>
  <c r="B9531" i="1"/>
  <c r="A9532" i="1"/>
  <c r="A9533" i="1"/>
  <c r="A9534" i="1"/>
  <c r="B9534" i="1"/>
  <c r="A9535" i="1"/>
  <c r="B9535" i="1"/>
  <c r="A9536" i="1"/>
  <c r="B9536" i="1"/>
  <c r="A9537" i="1"/>
  <c r="B9537" i="1"/>
  <c r="A9538" i="1"/>
  <c r="B9538" i="1"/>
  <c r="A9539" i="1"/>
  <c r="B9539" i="1"/>
  <c r="A9540" i="1"/>
  <c r="B9540" i="1"/>
  <c r="A9541" i="1"/>
  <c r="A9542" i="1"/>
  <c r="B9542" i="1"/>
  <c r="A9543" i="1"/>
  <c r="A9544" i="1"/>
  <c r="A9545" i="1"/>
  <c r="B9545" i="1"/>
  <c r="A9546" i="1"/>
  <c r="B9546" i="1"/>
  <c r="A9547" i="1"/>
  <c r="A9548" i="1"/>
  <c r="A9549" i="1"/>
  <c r="A9550" i="1"/>
  <c r="A9551" i="1"/>
  <c r="B9551" i="1"/>
  <c r="A9552" i="1"/>
  <c r="A9553" i="1"/>
  <c r="B9553" i="1"/>
  <c r="A9554" i="1"/>
  <c r="B9554" i="1"/>
  <c r="A9555" i="1"/>
  <c r="B9555" i="1"/>
  <c r="A9556" i="1"/>
  <c r="B9556" i="1"/>
  <c r="A9557" i="1"/>
  <c r="B9557" i="1"/>
  <c r="A9558" i="1"/>
  <c r="B9558" i="1"/>
  <c r="A9559" i="1"/>
  <c r="B9559" i="1"/>
  <c r="A9560" i="1"/>
  <c r="B9560" i="1"/>
  <c r="A9561" i="1"/>
  <c r="B9561" i="1"/>
  <c r="A9562" i="1"/>
  <c r="B9562" i="1"/>
  <c r="A9563" i="1"/>
  <c r="B9563" i="1"/>
  <c r="A9564" i="1"/>
  <c r="B9564" i="1"/>
  <c r="A9565" i="1"/>
  <c r="B9565" i="1"/>
  <c r="A9566" i="1"/>
  <c r="A9567" i="1"/>
  <c r="A9568" i="1"/>
  <c r="B9568" i="1"/>
  <c r="A9569" i="1"/>
  <c r="B9569" i="1"/>
  <c r="A9570" i="1"/>
  <c r="B9570" i="1"/>
  <c r="A9571" i="1"/>
  <c r="B9571" i="1"/>
  <c r="A9572" i="1"/>
  <c r="A9573" i="1"/>
  <c r="B9573" i="1"/>
  <c r="A9574" i="1"/>
  <c r="B9574" i="1"/>
  <c r="A9575" i="1"/>
  <c r="A9576" i="1"/>
  <c r="B9576" i="1"/>
  <c r="A9577" i="1"/>
  <c r="B9577" i="1"/>
  <c r="A9578" i="1"/>
  <c r="B9578" i="1"/>
  <c r="A9579" i="1"/>
  <c r="B9579" i="1"/>
  <c r="A9580" i="1"/>
  <c r="B9580" i="1"/>
  <c r="A9581" i="1"/>
  <c r="B9581" i="1"/>
  <c r="A9582" i="1"/>
  <c r="B9582" i="1"/>
  <c r="A9583" i="1"/>
  <c r="B9583" i="1"/>
  <c r="A9584" i="1"/>
  <c r="A9585" i="1"/>
  <c r="A9586" i="1"/>
  <c r="A9587" i="1"/>
  <c r="A9588" i="1"/>
  <c r="A9589" i="1"/>
  <c r="A9590" i="1"/>
  <c r="B9590" i="1"/>
  <c r="A9591" i="1"/>
  <c r="B9591" i="1"/>
  <c r="A9592" i="1"/>
  <c r="B9592" i="1"/>
  <c r="A9593" i="1"/>
  <c r="B9593" i="1"/>
  <c r="A9594" i="1"/>
  <c r="A9595" i="1"/>
  <c r="B9595" i="1"/>
  <c r="A9596" i="1"/>
  <c r="B9596" i="1"/>
  <c r="A9597" i="1"/>
  <c r="B9597" i="1"/>
  <c r="A9598" i="1"/>
  <c r="B9598" i="1"/>
  <c r="A9599" i="1"/>
  <c r="B9599" i="1"/>
  <c r="A9600" i="1"/>
  <c r="B9600" i="1"/>
  <c r="A9601" i="1"/>
  <c r="A9602" i="1"/>
  <c r="A9603" i="1"/>
  <c r="B9603" i="1"/>
  <c r="A9604" i="1"/>
  <c r="B9604" i="1"/>
  <c r="A9605" i="1"/>
  <c r="A9606" i="1"/>
  <c r="B9606" i="1"/>
  <c r="A9607" i="1"/>
  <c r="B9607" i="1"/>
  <c r="A9608" i="1"/>
  <c r="B9608" i="1"/>
  <c r="A9609" i="1"/>
  <c r="B9609" i="1"/>
  <c r="A9610" i="1"/>
  <c r="B9610" i="1"/>
  <c r="A9611" i="1"/>
  <c r="B9611" i="1"/>
  <c r="A9612" i="1"/>
  <c r="B9612" i="1"/>
  <c r="A9613" i="1"/>
  <c r="B9613" i="1"/>
  <c r="A9614" i="1"/>
  <c r="B9614" i="1"/>
  <c r="A9615" i="1"/>
  <c r="B9615" i="1"/>
  <c r="A9616" i="1"/>
  <c r="B9616" i="1"/>
  <c r="A9617" i="1"/>
  <c r="B9617" i="1"/>
  <c r="A9618" i="1"/>
  <c r="B9618" i="1"/>
  <c r="A9619" i="1"/>
  <c r="B9619" i="1"/>
  <c r="A9620" i="1"/>
  <c r="B9620" i="1"/>
  <c r="A9621" i="1"/>
  <c r="B9621" i="1"/>
  <c r="A9622" i="1"/>
  <c r="B9622" i="1"/>
  <c r="A9623" i="1"/>
  <c r="B9623" i="1"/>
  <c r="A9624" i="1"/>
  <c r="B9624" i="1"/>
  <c r="A9625" i="1"/>
  <c r="B9625" i="1"/>
  <c r="A9626" i="1"/>
  <c r="B9626" i="1"/>
  <c r="A9627" i="1"/>
  <c r="B9627" i="1"/>
  <c r="A9628" i="1"/>
  <c r="B9628" i="1"/>
  <c r="A9629" i="1"/>
  <c r="B9629" i="1"/>
  <c r="A9630" i="1"/>
  <c r="B9630" i="1"/>
  <c r="A9631" i="1"/>
  <c r="B9631" i="1"/>
  <c r="A9632" i="1"/>
  <c r="B9632" i="1"/>
  <c r="A9633" i="1"/>
  <c r="A9634" i="1"/>
  <c r="A9635" i="1"/>
  <c r="B9635" i="1"/>
  <c r="A9636" i="1"/>
  <c r="B9636" i="1"/>
  <c r="A9637" i="1"/>
  <c r="B9637" i="1"/>
  <c r="A9638" i="1"/>
  <c r="A9639" i="1"/>
  <c r="A9640" i="1"/>
  <c r="B9640" i="1"/>
  <c r="A9641" i="1"/>
  <c r="A9642" i="1"/>
  <c r="B9642" i="1"/>
  <c r="A9643" i="1"/>
  <c r="B9643" i="1"/>
  <c r="A9644" i="1"/>
  <c r="B9644" i="1"/>
  <c r="A9645" i="1"/>
  <c r="A9646" i="1"/>
  <c r="B9646" i="1"/>
  <c r="A9647" i="1"/>
  <c r="B9647" i="1"/>
  <c r="A9648" i="1"/>
  <c r="B9648" i="1"/>
  <c r="A9649" i="1"/>
  <c r="B9649" i="1"/>
  <c r="A9650" i="1"/>
  <c r="B9650" i="1"/>
  <c r="A9651" i="1"/>
  <c r="A9652" i="1"/>
  <c r="B9652" i="1"/>
  <c r="A9653" i="1"/>
  <c r="A9654" i="1"/>
  <c r="B9654" i="1"/>
  <c r="A9655" i="1"/>
  <c r="B9655" i="1"/>
  <c r="A9656" i="1"/>
  <c r="A9657" i="1"/>
  <c r="B9657" i="1"/>
  <c r="A9658" i="1"/>
  <c r="B9658" i="1"/>
  <c r="A9659" i="1"/>
  <c r="A9660" i="1"/>
  <c r="B9660" i="1"/>
  <c r="A9661" i="1"/>
  <c r="A9662" i="1"/>
  <c r="B9662" i="1"/>
  <c r="A9663" i="1"/>
  <c r="B9663" i="1"/>
  <c r="A9664" i="1"/>
  <c r="B9664" i="1"/>
  <c r="A9665" i="1"/>
  <c r="B9665" i="1"/>
  <c r="A9666" i="1"/>
  <c r="B9666" i="1"/>
  <c r="A9667" i="1"/>
  <c r="B9667" i="1"/>
  <c r="A9668" i="1"/>
  <c r="B9668" i="1"/>
  <c r="A9669" i="1"/>
  <c r="B9669" i="1"/>
  <c r="A9670" i="1"/>
  <c r="A9671" i="1"/>
  <c r="B9671" i="1"/>
  <c r="A9672" i="1"/>
  <c r="B9672" i="1"/>
  <c r="A9673" i="1"/>
  <c r="B9673" i="1"/>
  <c r="A9674" i="1"/>
  <c r="B9674" i="1"/>
  <c r="A9675" i="1"/>
  <c r="B9675" i="1"/>
  <c r="A9676" i="1"/>
  <c r="B9676" i="1"/>
  <c r="A9677" i="1"/>
  <c r="B9677" i="1"/>
  <c r="A9678" i="1"/>
  <c r="B9678" i="1"/>
  <c r="A9679" i="1"/>
  <c r="B9679" i="1"/>
  <c r="A9680" i="1"/>
  <c r="B9680" i="1"/>
  <c r="A9681" i="1"/>
  <c r="B9681" i="1"/>
  <c r="A9682" i="1"/>
  <c r="B9682" i="1"/>
  <c r="A9683" i="1"/>
  <c r="B9683" i="1"/>
  <c r="A9684" i="1"/>
  <c r="B9684" i="1"/>
  <c r="A9685" i="1"/>
  <c r="B9685" i="1"/>
  <c r="A9686" i="1"/>
  <c r="B9686" i="1"/>
  <c r="A9687" i="1"/>
  <c r="B9687" i="1"/>
  <c r="A9688" i="1"/>
  <c r="A9689" i="1"/>
  <c r="B9689" i="1"/>
  <c r="A9690" i="1"/>
  <c r="B9690" i="1"/>
  <c r="A9691" i="1"/>
  <c r="B9691" i="1"/>
  <c r="A9692" i="1"/>
  <c r="B9692" i="1"/>
  <c r="A9693" i="1"/>
  <c r="B9693" i="1"/>
  <c r="A9694" i="1"/>
  <c r="B9694" i="1"/>
  <c r="A9695" i="1"/>
  <c r="B9695" i="1"/>
  <c r="A9696" i="1"/>
  <c r="A9697" i="1"/>
  <c r="B9697" i="1"/>
  <c r="A9698" i="1"/>
  <c r="B9698" i="1"/>
  <c r="A9699" i="1"/>
  <c r="B9699" i="1"/>
  <c r="A9700" i="1"/>
  <c r="B9700" i="1"/>
  <c r="A9701" i="1"/>
  <c r="B9701" i="1"/>
  <c r="A9702" i="1"/>
  <c r="B9702" i="1"/>
  <c r="A9703" i="1"/>
  <c r="B9703" i="1"/>
  <c r="A9704" i="1"/>
  <c r="B9704" i="1"/>
  <c r="A9705" i="1"/>
  <c r="B9705" i="1"/>
  <c r="A9706" i="1"/>
  <c r="B9706" i="1"/>
  <c r="A9707" i="1"/>
  <c r="B9707" i="1"/>
  <c r="A9708" i="1"/>
  <c r="B9708" i="1"/>
  <c r="A9709" i="1"/>
  <c r="B9709" i="1"/>
  <c r="A9710" i="1"/>
  <c r="B9710" i="1"/>
  <c r="A9711" i="1"/>
  <c r="A9712" i="1"/>
  <c r="A9713" i="1"/>
  <c r="A9714" i="1"/>
  <c r="A9715" i="1"/>
  <c r="A9716" i="1"/>
  <c r="A9717" i="1"/>
  <c r="A9718" i="1"/>
  <c r="A9719" i="1"/>
  <c r="A9720" i="1"/>
  <c r="A9721" i="1"/>
  <c r="A9722" i="1"/>
  <c r="A9723" i="1"/>
  <c r="B9723" i="1"/>
  <c r="A9724" i="1"/>
  <c r="B9724" i="1"/>
  <c r="A9725" i="1"/>
  <c r="A9726" i="1"/>
  <c r="B9726" i="1"/>
  <c r="A9727" i="1"/>
  <c r="B9727" i="1"/>
  <c r="A9728" i="1"/>
  <c r="B9728" i="1"/>
  <c r="A9729" i="1"/>
  <c r="B9729" i="1"/>
  <c r="A9730" i="1"/>
  <c r="B9730" i="1"/>
  <c r="A9731" i="1"/>
  <c r="B9731" i="1"/>
  <c r="A9732" i="1"/>
  <c r="B9732" i="1"/>
  <c r="A9733" i="1"/>
  <c r="B9733" i="1"/>
  <c r="A9734" i="1"/>
  <c r="B9734" i="1"/>
  <c r="A9735" i="1"/>
  <c r="B9735" i="1"/>
  <c r="A9736" i="1"/>
  <c r="B9736" i="1"/>
  <c r="A9737" i="1"/>
  <c r="B9737" i="1"/>
  <c r="A9738" i="1"/>
  <c r="B9738" i="1"/>
  <c r="A9739" i="1"/>
  <c r="B9739" i="1"/>
  <c r="A9740" i="1"/>
  <c r="B9740" i="1"/>
  <c r="A9741" i="1"/>
  <c r="B9741" i="1"/>
  <c r="A9742" i="1"/>
  <c r="B9742" i="1"/>
  <c r="A9743" i="1"/>
  <c r="B9743" i="1"/>
  <c r="A9744" i="1"/>
  <c r="B9744" i="1"/>
  <c r="A9745" i="1"/>
  <c r="B9745" i="1"/>
  <c r="A9746" i="1"/>
  <c r="B9746" i="1"/>
  <c r="A9747" i="1"/>
  <c r="B9747" i="1"/>
  <c r="A9748" i="1"/>
  <c r="B9748" i="1"/>
  <c r="A9749" i="1"/>
  <c r="B9749" i="1"/>
  <c r="A9750" i="1"/>
  <c r="B9750" i="1"/>
  <c r="A9751" i="1"/>
  <c r="B9751" i="1"/>
  <c r="A9752" i="1"/>
  <c r="B9752" i="1"/>
  <c r="A9753" i="1"/>
  <c r="B9753" i="1"/>
  <c r="A9754" i="1"/>
  <c r="B9754" i="1"/>
  <c r="A9755" i="1"/>
  <c r="B9755" i="1"/>
  <c r="A9756" i="1"/>
  <c r="B9756" i="1"/>
  <c r="A9757" i="1"/>
  <c r="B9757" i="1"/>
  <c r="A9758" i="1"/>
  <c r="A9759" i="1"/>
  <c r="B9759" i="1"/>
  <c r="A9760" i="1"/>
  <c r="B9760" i="1"/>
  <c r="A9761" i="1"/>
  <c r="B9761" i="1"/>
  <c r="A9762" i="1"/>
  <c r="B9762" i="1"/>
  <c r="A9763" i="1"/>
  <c r="B9763" i="1"/>
  <c r="A9764" i="1"/>
  <c r="A9765" i="1"/>
  <c r="B9765" i="1"/>
  <c r="A9766" i="1"/>
  <c r="B9766" i="1"/>
  <c r="A9767" i="1"/>
  <c r="B9767" i="1"/>
  <c r="A9768" i="1"/>
  <c r="B9768" i="1"/>
  <c r="A9769" i="1"/>
  <c r="B9769" i="1"/>
  <c r="A9770" i="1"/>
  <c r="B9770" i="1"/>
  <c r="A9771" i="1"/>
  <c r="B9771" i="1"/>
  <c r="A9772" i="1"/>
  <c r="B9772" i="1"/>
  <c r="A9773" i="1"/>
  <c r="B9773" i="1"/>
  <c r="A9774" i="1"/>
  <c r="B9774" i="1"/>
  <c r="A9775" i="1"/>
  <c r="B9775" i="1"/>
  <c r="A9776" i="1"/>
  <c r="B9776" i="1"/>
  <c r="A9777" i="1"/>
  <c r="B9777" i="1"/>
  <c r="A9778" i="1"/>
  <c r="B9778" i="1"/>
  <c r="A9779" i="1"/>
  <c r="B9779" i="1"/>
  <c r="A9780" i="1"/>
  <c r="B9780" i="1"/>
  <c r="A9781" i="1"/>
  <c r="B9781" i="1"/>
  <c r="A9782" i="1"/>
  <c r="B9782" i="1"/>
  <c r="A9783" i="1"/>
  <c r="B9783" i="1"/>
  <c r="A9784" i="1"/>
  <c r="A9785" i="1"/>
  <c r="B9785" i="1"/>
  <c r="A9786" i="1"/>
  <c r="B9786" i="1"/>
  <c r="A9787" i="1"/>
  <c r="B9787" i="1"/>
  <c r="A9788" i="1"/>
  <c r="B9788" i="1"/>
  <c r="A9789" i="1"/>
  <c r="B9789" i="1"/>
  <c r="A9790" i="1"/>
  <c r="B9790" i="1"/>
  <c r="A9791" i="1"/>
  <c r="B9791" i="1"/>
  <c r="A9792" i="1"/>
  <c r="B9792" i="1"/>
  <c r="A9793" i="1"/>
  <c r="B9793" i="1"/>
  <c r="A9794" i="1"/>
  <c r="A9795" i="1"/>
  <c r="B9795" i="1"/>
  <c r="A9796" i="1"/>
  <c r="B9796" i="1"/>
  <c r="A9797" i="1"/>
  <c r="B9797" i="1"/>
  <c r="A9798" i="1"/>
  <c r="B9798" i="1"/>
  <c r="A9799" i="1"/>
  <c r="B9799" i="1"/>
  <c r="A9800" i="1"/>
  <c r="B9800" i="1"/>
  <c r="A9801" i="1"/>
  <c r="A9802" i="1"/>
  <c r="B9802" i="1"/>
  <c r="A9803" i="1"/>
  <c r="B9803" i="1"/>
  <c r="A9804" i="1"/>
  <c r="B9804" i="1"/>
  <c r="A9805" i="1"/>
  <c r="B9805" i="1"/>
  <c r="A9806" i="1"/>
  <c r="B9806" i="1"/>
  <c r="A9807" i="1"/>
  <c r="B9807" i="1"/>
  <c r="A9808" i="1"/>
  <c r="B9808" i="1"/>
  <c r="A9809" i="1"/>
  <c r="B9809" i="1"/>
  <c r="A9810" i="1"/>
  <c r="B9810" i="1"/>
  <c r="A9811" i="1"/>
  <c r="B9811" i="1"/>
  <c r="A9812" i="1"/>
  <c r="B9812" i="1"/>
  <c r="A9813" i="1"/>
  <c r="B9813" i="1"/>
  <c r="A9814" i="1"/>
  <c r="B9814" i="1"/>
  <c r="A9815" i="1"/>
  <c r="B9815" i="1"/>
  <c r="A9816" i="1"/>
  <c r="B9816" i="1"/>
  <c r="A9817" i="1"/>
  <c r="B9817" i="1"/>
  <c r="A9818" i="1"/>
  <c r="B9818" i="1"/>
  <c r="A9819" i="1"/>
  <c r="B9819" i="1"/>
  <c r="A9820" i="1"/>
  <c r="B9820" i="1"/>
  <c r="A9821" i="1"/>
  <c r="B9821" i="1"/>
  <c r="A9822" i="1"/>
  <c r="B9822" i="1"/>
  <c r="A9823" i="1"/>
  <c r="B9823" i="1"/>
  <c r="A9824" i="1"/>
  <c r="B9824" i="1"/>
  <c r="A9825" i="1"/>
  <c r="B9825" i="1"/>
  <c r="A9826" i="1"/>
  <c r="A9827" i="1"/>
  <c r="A9828" i="1"/>
  <c r="B9828" i="1"/>
  <c r="A9829" i="1"/>
  <c r="B9829" i="1"/>
  <c r="A9830" i="1"/>
  <c r="B9830" i="1"/>
  <c r="A9831" i="1"/>
  <c r="B9831" i="1"/>
  <c r="A9832" i="1"/>
  <c r="B9832" i="1"/>
  <c r="A9833" i="1"/>
  <c r="A9834" i="1"/>
  <c r="A9835" i="1"/>
  <c r="B9835" i="1"/>
  <c r="A9836" i="1"/>
  <c r="B9836" i="1"/>
  <c r="A9837" i="1"/>
  <c r="B9837" i="1"/>
  <c r="A9838" i="1"/>
  <c r="B9838" i="1"/>
  <c r="A9839" i="1"/>
  <c r="A9840" i="1"/>
  <c r="A9841" i="1"/>
  <c r="B9841" i="1"/>
  <c r="A9842" i="1"/>
  <c r="B9842" i="1"/>
  <c r="A9843" i="1"/>
  <c r="B9843" i="1"/>
  <c r="A9844" i="1"/>
  <c r="B9844" i="1"/>
  <c r="A9845" i="1"/>
  <c r="B9845" i="1"/>
  <c r="A9846" i="1"/>
  <c r="B9846" i="1"/>
  <c r="A9847" i="1"/>
  <c r="B9847" i="1"/>
  <c r="A9848" i="1"/>
  <c r="B9848" i="1"/>
  <c r="A9849" i="1"/>
  <c r="A9850" i="1"/>
  <c r="A9851" i="1"/>
  <c r="A9852" i="1"/>
  <c r="B9852" i="1"/>
  <c r="A9853" i="1"/>
  <c r="A9854" i="1"/>
  <c r="A9855" i="1"/>
  <c r="B9855" i="1"/>
  <c r="A9856" i="1"/>
  <c r="B9856" i="1"/>
  <c r="A9857" i="1"/>
  <c r="B9857" i="1"/>
  <c r="A9858" i="1"/>
  <c r="B9858" i="1"/>
  <c r="A9859" i="1"/>
  <c r="B9859" i="1"/>
  <c r="A9860" i="1"/>
  <c r="B9860" i="1"/>
  <c r="A9861" i="1"/>
  <c r="B9861" i="1"/>
  <c r="A9862" i="1"/>
  <c r="A9863" i="1"/>
  <c r="A9864" i="1"/>
  <c r="B9864" i="1"/>
  <c r="A9865" i="1"/>
  <c r="B9865" i="1"/>
  <c r="A9866" i="1"/>
  <c r="B9866" i="1"/>
  <c r="A9867" i="1"/>
  <c r="A9868" i="1"/>
  <c r="B9868" i="1"/>
  <c r="A9869" i="1"/>
  <c r="B9869" i="1"/>
  <c r="A9870" i="1"/>
  <c r="B9870" i="1"/>
  <c r="A9871" i="1"/>
  <c r="B9871" i="1"/>
  <c r="A9872" i="1"/>
  <c r="B9872" i="1"/>
  <c r="A9873" i="1"/>
  <c r="B9873" i="1"/>
  <c r="A9874" i="1"/>
  <c r="B9874" i="1"/>
  <c r="A9875" i="1"/>
  <c r="B9875" i="1"/>
  <c r="A9876" i="1"/>
  <c r="B9876" i="1"/>
  <c r="A9877" i="1"/>
  <c r="B9877" i="1"/>
  <c r="A9878" i="1"/>
  <c r="B9878" i="1"/>
  <c r="A9879" i="1"/>
  <c r="A9880" i="1"/>
  <c r="B9880" i="1"/>
  <c r="A9881" i="1"/>
  <c r="A9882" i="1"/>
  <c r="B9882" i="1"/>
  <c r="A9883" i="1"/>
  <c r="B9883" i="1"/>
  <c r="A9884" i="1"/>
  <c r="B9884" i="1"/>
  <c r="A9885" i="1"/>
  <c r="B9885" i="1"/>
  <c r="A9886" i="1"/>
  <c r="B9886" i="1"/>
  <c r="A9887" i="1"/>
  <c r="B9887" i="1"/>
  <c r="A9888" i="1"/>
  <c r="B9888" i="1"/>
  <c r="A9889" i="1"/>
  <c r="B9889" i="1"/>
  <c r="A9890" i="1"/>
  <c r="B9890" i="1"/>
  <c r="A9891" i="1"/>
  <c r="A9892" i="1"/>
  <c r="B9892" i="1"/>
  <c r="A9893" i="1"/>
  <c r="B9893" i="1"/>
  <c r="A9894" i="1"/>
  <c r="B9894" i="1"/>
  <c r="A9895" i="1"/>
  <c r="B9895" i="1"/>
  <c r="A9896" i="1"/>
  <c r="B9896" i="1"/>
  <c r="A9897" i="1"/>
  <c r="B9897" i="1"/>
  <c r="A9898" i="1"/>
  <c r="B9898" i="1"/>
  <c r="A9899" i="1"/>
  <c r="B9899" i="1"/>
  <c r="A9900" i="1"/>
  <c r="A9901" i="1"/>
  <c r="B9901" i="1"/>
  <c r="A9902" i="1"/>
  <c r="B9902" i="1"/>
  <c r="A9903" i="1"/>
  <c r="B9903" i="1"/>
  <c r="A9904" i="1"/>
  <c r="B9904" i="1"/>
  <c r="A9905" i="1"/>
  <c r="B9905" i="1"/>
  <c r="A9906" i="1"/>
  <c r="B9906" i="1"/>
  <c r="A9907" i="1"/>
  <c r="B9907" i="1"/>
  <c r="A9908" i="1"/>
  <c r="B9908" i="1"/>
  <c r="A9909" i="1"/>
  <c r="B9909" i="1"/>
  <c r="A9910" i="1"/>
  <c r="B9910" i="1"/>
  <c r="A9911" i="1"/>
  <c r="B9911" i="1"/>
  <c r="A9912" i="1"/>
  <c r="A9913" i="1"/>
  <c r="A9914" i="1"/>
  <c r="A9915" i="1"/>
  <c r="A9916" i="1"/>
  <c r="B9916" i="1"/>
  <c r="A9917" i="1"/>
  <c r="B9917" i="1"/>
  <c r="A9918" i="1"/>
  <c r="A9919" i="1"/>
  <c r="A9920" i="1"/>
  <c r="A9921" i="1"/>
  <c r="B9921" i="1"/>
  <c r="A9922" i="1"/>
  <c r="B9922" i="1"/>
  <c r="A9923" i="1"/>
  <c r="B9923" i="1"/>
  <c r="A9924" i="1"/>
  <c r="A9925" i="1"/>
  <c r="B9925" i="1"/>
  <c r="A9926" i="1"/>
  <c r="B9926" i="1"/>
  <c r="A9927" i="1"/>
  <c r="A9928" i="1"/>
  <c r="A9929" i="1"/>
  <c r="B9929" i="1"/>
  <c r="A9930" i="1"/>
  <c r="B9930" i="1"/>
  <c r="A9931" i="1"/>
  <c r="B9931" i="1"/>
  <c r="A9932" i="1"/>
  <c r="B9932" i="1"/>
  <c r="A9933" i="1"/>
  <c r="A9934" i="1"/>
  <c r="B9934" i="1"/>
  <c r="A9935" i="1"/>
  <c r="B9935" i="1"/>
  <c r="A9936" i="1"/>
  <c r="A9937" i="1"/>
  <c r="B9937" i="1"/>
  <c r="A9938" i="1"/>
  <c r="B9938" i="1"/>
  <c r="A9939" i="1"/>
  <c r="B9939" i="1"/>
  <c r="A9940" i="1"/>
  <c r="B9940" i="1"/>
  <c r="A9941" i="1"/>
  <c r="B9941" i="1"/>
  <c r="A9942" i="1"/>
  <c r="B9942" i="1"/>
  <c r="A9943" i="1"/>
  <c r="B9943" i="1"/>
  <c r="A9944" i="1"/>
  <c r="B9944" i="1"/>
  <c r="A9945" i="1"/>
  <c r="B9945" i="1"/>
  <c r="A9946" i="1"/>
  <c r="B9946" i="1"/>
  <c r="A9947" i="1"/>
  <c r="B9947" i="1"/>
  <c r="A9948" i="1"/>
  <c r="B9948" i="1"/>
  <c r="A9949" i="1"/>
  <c r="B9949" i="1"/>
  <c r="A9950" i="1"/>
  <c r="B9950" i="1"/>
  <c r="A9951" i="1"/>
  <c r="A9952" i="1"/>
  <c r="B9952" i="1"/>
  <c r="A9953" i="1"/>
  <c r="B9953" i="1"/>
  <c r="A9954" i="1"/>
  <c r="B9954" i="1"/>
  <c r="A9955" i="1"/>
  <c r="B9955" i="1"/>
  <c r="A9956" i="1"/>
  <c r="B9956" i="1"/>
  <c r="A9957" i="1"/>
  <c r="B9957" i="1"/>
  <c r="A9958" i="1"/>
  <c r="B9958" i="1"/>
  <c r="A9959" i="1"/>
  <c r="B9959" i="1"/>
  <c r="A9960" i="1"/>
  <c r="B9960" i="1"/>
  <c r="A9961" i="1"/>
  <c r="B9961" i="1"/>
  <c r="A9962" i="1"/>
  <c r="B9962" i="1"/>
  <c r="A9963" i="1"/>
  <c r="B9963" i="1"/>
  <c r="A9964" i="1"/>
  <c r="A9965" i="1"/>
  <c r="B9965" i="1"/>
  <c r="A9966" i="1"/>
  <c r="B9966" i="1"/>
  <c r="A9967" i="1"/>
  <c r="B9967" i="1"/>
  <c r="A9968" i="1"/>
  <c r="B9968" i="1"/>
  <c r="A9969" i="1"/>
  <c r="B9969" i="1"/>
  <c r="A9970" i="1"/>
  <c r="B9970" i="1"/>
  <c r="A9971" i="1"/>
  <c r="B9971" i="1"/>
  <c r="A9972" i="1"/>
  <c r="B9972" i="1"/>
  <c r="A9973" i="1"/>
  <c r="B9973" i="1"/>
  <c r="A9974" i="1"/>
  <c r="B9974" i="1"/>
  <c r="A9975" i="1"/>
  <c r="B9975" i="1"/>
  <c r="A9976" i="1"/>
  <c r="B9976" i="1"/>
  <c r="A9977" i="1"/>
  <c r="B9977" i="1"/>
  <c r="A9978" i="1"/>
  <c r="B9978" i="1"/>
  <c r="A9979" i="1"/>
  <c r="B9979" i="1"/>
  <c r="A9980" i="1"/>
  <c r="B9980" i="1"/>
  <c r="A9981" i="1"/>
  <c r="B9981" i="1"/>
  <c r="A9982" i="1"/>
  <c r="B9982" i="1"/>
  <c r="A9983" i="1"/>
  <c r="B9983" i="1"/>
  <c r="A9984" i="1"/>
  <c r="A9985" i="1"/>
  <c r="A9986" i="1"/>
  <c r="A9987" i="1"/>
  <c r="B9987" i="1"/>
  <c r="A9988" i="1"/>
  <c r="B9988" i="1"/>
  <c r="A9989" i="1"/>
  <c r="B9989" i="1"/>
  <c r="A9990" i="1"/>
  <c r="B9990" i="1"/>
  <c r="A9991" i="1"/>
  <c r="B9991" i="1"/>
  <c r="A9992" i="1"/>
  <c r="B9992" i="1"/>
  <c r="A9993" i="1"/>
  <c r="B9993" i="1"/>
  <c r="A9994" i="1"/>
  <c r="A9995" i="1"/>
  <c r="A9996" i="1"/>
  <c r="A9997" i="1"/>
  <c r="B9997" i="1"/>
  <c r="A9998" i="1"/>
  <c r="B9998" i="1"/>
  <c r="A9999" i="1"/>
  <c r="B9999" i="1"/>
  <c r="A10000" i="1"/>
  <c r="B10000" i="1"/>
  <c r="A10001" i="1"/>
  <c r="B10001" i="1"/>
  <c r="A10002" i="1"/>
  <c r="B10002" i="1"/>
  <c r="A10003" i="1"/>
  <c r="B10003" i="1"/>
  <c r="A10004" i="1"/>
  <c r="B10004" i="1"/>
  <c r="A10005" i="1"/>
  <c r="A10006" i="1"/>
  <c r="B10006" i="1"/>
  <c r="A10007" i="1"/>
  <c r="A10008" i="1"/>
  <c r="A10009" i="1"/>
  <c r="A10010" i="1"/>
  <c r="A10011" i="1"/>
  <c r="A10012" i="1"/>
  <c r="A10013" i="1"/>
  <c r="B10013" i="1"/>
  <c r="A10014" i="1"/>
  <c r="B10014" i="1"/>
  <c r="A10015" i="1"/>
  <c r="B10015" i="1"/>
  <c r="A10016" i="1"/>
  <c r="A10017" i="1"/>
  <c r="B10017" i="1"/>
  <c r="A10018" i="1"/>
  <c r="B10018" i="1"/>
  <c r="A10019" i="1"/>
  <c r="B10019" i="1"/>
  <c r="A10020" i="1"/>
  <c r="A10021" i="1"/>
  <c r="B10021" i="1"/>
  <c r="A10022" i="1"/>
  <c r="B10022" i="1"/>
  <c r="A10023" i="1"/>
  <c r="A10024" i="1"/>
  <c r="A10025" i="1"/>
  <c r="B10025" i="1"/>
  <c r="A10026" i="1"/>
  <c r="A10027" i="1"/>
  <c r="A10028" i="1"/>
  <c r="B10028" i="1"/>
  <c r="A10029" i="1"/>
  <c r="B10029" i="1"/>
  <c r="A10030" i="1"/>
  <c r="B10030" i="1"/>
  <c r="A10031" i="1"/>
  <c r="B10031" i="1"/>
  <c r="A10032" i="1"/>
  <c r="B10032" i="1"/>
  <c r="A10033" i="1"/>
  <c r="B10033" i="1"/>
  <c r="A10034" i="1"/>
  <c r="B10034" i="1"/>
  <c r="A10035" i="1"/>
  <c r="B10035" i="1"/>
  <c r="A10036" i="1"/>
  <c r="B10036" i="1"/>
  <c r="A10037" i="1"/>
  <c r="A10038" i="1"/>
  <c r="B10038" i="1"/>
  <c r="A10039" i="1"/>
  <c r="B10039" i="1"/>
  <c r="A10040" i="1"/>
  <c r="A10041" i="1"/>
  <c r="B10041" i="1"/>
  <c r="A10042" i="1"/>
  <c r="B10042" i="1"/>
  <c r="A10043" i="1"/>
  <c r="B10043" i="1"/>
  <c r="A10044" i="1"/>
  <c r="A10045" i="1"/>
  <c r="B10045" i="1"/>
  <c r="A10046" i="1"/>
  <c r="A10047" i="1"/>
  <c r="B10047" i="1"/>
  <c r="A10048" i="1"/>
  <c r="B10048" i="1"/>
  <c r="A10049" i="1"/>
  <c r="B10049" i="1"/>
  <c r="A10050" i="1"/>
  <c r="B10050" i="1"/>
  <c r="A10051" i="1"/>
  <c r="B10051" i="1"/>
  <c r="A10052" i="1"/>
  <c r="B10052" i="1"/>
  <c r="A10053" i="1"/>
  <c r="A10054" i="1"/>
  <c r="B10054" i="1"/>
  <c r="A10055" i="1"/>
  <c r="B10055" i="1"/>
  <c r="A10056" i="1"/>
  <c r="B10056" i="1"/>
  <c r="A10057" i="1"/>
  <c r="A10058" i="1"/>
  <c r="B10058" i="1"/>
  <c r="A10059" i="1"/>
  <c r="B10059" i="1"/>
  <c r="A10060" i="1"/>
  <c r="B10060" i="1"/>
  <c r="A10061" i="1"/>
  <c r="B10061" i="1"/>
  <c r="A10062" i="1"/>
  <c r="B10062" i="1"/>
  <c r="A10063" i="1"/>
  <c r="B10063" i="1"/>
  <c r="A10064" i="1"/>
  <c r="B10064" i="1"/>
  <c r="A10065" i="1"/>
  <c r="B10065" i="1"/>
  <c r="A10066" i="1"/>
  <c r="B10066" i="1"/>
  <c r="A10067" i="1"/>
  <c r="B10067" i="1"/>
  <c r="A10068" i="1"/>
  <c r="B10068" i="1"/>
  <c r="A10069" i="1"/>
  <c r="B10069" i="1"/>
  <c r="A10070" i="1"/>
  <c r="B10070" i="1"/>
  <c r="A10071" i="1"/>
  <c r="B10071" i="1"/>
  <c r="A10072" i="1"/>
  <c r="B10072" i="1"/>
  <c r="A10073" i="1"/>
  <c r="B10073" i="1"/>
  <c r="A10074" i="1"/>
  <c r="B10074" i="1"/>
  <c r="A10075" i="1"/>
  <c r="A10076" i="1"/>
  <c r="B10076" i="1"/>
  <c r="A10077" i="1"/>
  <c r="B10077" i="1"/>
  <c r="A10078" i="1"/>
  <c r="B10078" i="1"/>
  <c r="A10079" i="1"/>
  <c r="A10080" i="1"/>
  <c r="B10080" i="1"/>
  <c r="A10081" i="1"/>
  <c r="B10081" i="1"/>
  <c r="A10082" i="1"/>
  <c r="B10082" i="1"/>
  <c r="A10083" i="1"/>
  <c r="A10084" i="1"/>
  <c r="B10084" i="1"/>
  <c r="A10085" i="1"/>
  <c r="B10085" i="1"/>
  <c r="A10086" i="1"/>
  <c r="B10086" i="1"/>
  <c r="A10087" i="1"/>
  <c r="B10087" i="1"/>
  <c r="A10088" i="1"/>
  <c r="B10088" i="1"/>
  <c r="A10089" i="1"/>
  <c r="B10089" i="1"/>
  <c r="A10090" i="1"/>
  <c r="B10090" i="1"/>
  <c r="A10091" i="1"/>
  <c r="B10091" i="1"/>
  <c r="A10092" i="1"/>
  <c r="B10092" i="1"/>
  <c r="A10093" i="1"/>
  <c r="B10093" i="1"/>
  <c r="A10094" i="1"/>
  <c r="B10094" i="1"/>
  <c r="A10095" i="1"/>
  <c r="A10096" i="1"/>
  <c r="B10096" i="1"/>
  <c r="A10097" i="1"/>
  <c r="A10098" i="1"/>
  <c r="B10098" i="1"/>
  <c r="A10099" i="1"/>
  <c r="B10099" i="1"/>
  <c r="A10100" i="1"/>
  <c r="B10100" i="1"/>
  <c r="A10101" i="1"/>
  <c r="B10101" i="1"/>
  <c r="A10102" i="1"/>
  <c r="B10102" i="1"/>
  <c r="A10103" i="1"/>
  <c r="B10103" i="1"/>
  <c r="A10104" i="1"/>
  <c r="B10104" i="1"/>
  <c r="A10105" i="1"/>
  <c r="B10105" i="1"/>
  <c r="A10106" i="1"/>
  <c r="B10106" i="1"/>
  <c r="A10107" i="1"/>
  <c r="B10107" i="1"/>
  <c r="A10108" i="1"/>
  <c r="A10109" i="1"/>
  <c r="B10109" i="1"/>
  <c r="A10110" i="1"/>
  <c r="A10111" i="1"/>
  <c r="B10111" i="1"/>
  <c r="A10112" i="1"/>
  <c r="B10112" i="1"/>
  <c r="A10113" i="1"/>
  <c r="B10113" i="1"/>
  <c r="A10114" i="1"/>
  <c r="B10114" i="1"/>
  <c r="A10115" i="1"/>
  <c r="B10115" i="1"/>
  <c r="A10116" i="1"/>
  <c r="B10116" i="1"/>
  <c r="A10117" i="1"/>
  <c r="B10117" i="1"/>
  <c r="A10118" i="1"/>
  <c r="B10118" i="1"/>
  <c r="A10119" i="1"/>
  <c r="B10119" i="1"/>
  <c r="A10120" i="1"/>
  <c r="A10121" i="1"/>
  <c r="B10121" i="1"/>
  <c r="A10122" i="1"/>
  <c r="B10122" i="1"/>
  <c r="A10123" i="1"/>
  <c r="B10123" i="1"/>
  <c r="A10124" i="1"/>
  <c r="A10125" i="1"/>
  <c r="B10125" i="1"/>
  <c r="A10126" i="1"/>
  <c r="B10126" i="1"/>
  <c r="A10127" i="1"/>
  <c r="B10127" i="1"/>
  <c r="A10128" i="1"/>
  <c r="B10128" i="1"/>
  <c r="A10129" i="1"/>
  <c r="B10129" i="1"/>
  <c r="A10130" i="1"/>
  <c r="B10130" i="1"/>
  <c r="A10131" i="1"/>
  <c r="A10132" i="1"/>
  <c r="B10132" i="1"/>
  <c r="A10133" i="1"/>
  <c r="B10133" i="1"/>
  <c r="A10134" i="1"/>
  <c r="B10134" i="1"/>
  <c r="A10135" i="1"/>
  <c r="B10135" i="1"/>
  <c r="A10136" i="1"/>
  <c r="B10136" i="1"/>
  <c r="A10137" i="1"/>
  <c r="B10137" i="1"/>
  <c r="A10138" i="1"/>
  <c r="B10138" i="1"/>
  <c r="A10139" i="1"/>
  <c r="B10139" i="1"/>
  <c r="A10140" i="1"/>
  <c r="B10140" i="1"/>
  <c r="A10141" i="1"/>
  <c r="A10142" i="1"/>
  <c r="A10143" i="1"/>
  <c r="A10144" i="1"/>
  <c r="B10144" i="1"/>
  <c r="A10145" i="1"/>
  <c r="B10145" i="1"/>
  <c r="A10146" i="1"/>
  <c r="B10146" i="1"/>
  <c r="A10147" i="1"/>
  <c r="B10147" i="1"/>
  <c r="A10148" i="1"/>
  <c r="A10149" i="1"/>
  <c r="B10149" i="1"/>
  <c r="A10150" i="1"/>
  <c r="B10150" i="1"/>
  <c r="A10151" i="1"/>
  <c r="B10151" i="1"/>
  <c r="A10152" i="1"/>
  <c r="B10152" i="1"/>
  <c r="A10153" i="1"/>
  <c r="A10154" i="1"/>
  <c r="A10155" i="1"/>
  <c r="B10155" i="1"/>
  <c r="A10156" i="1"/>
  <c r="A10157" i="1"/>
  <c r="B10157" i="1"/>
  <c r="A10158" i="1"/>
  <c r="A10159" i="1"/>
  <c r="B10159" i="1"/>
  <c r="A10160" i="1"/>
  <c r="B10160" i="1"/>
  <c r="A10161" i="1"/>
  <c r="B10161" i="1"/>
  <c r="A10162" i="1"/>
  <c r="B10162" i="1"/>
  <c r="A10163" i="1"/>
  <c r="A10164" i="1"/>
  <c r="A10165" i="1"/>
  <c r="B10165" i="1"/>
  <c r="A10166" i="1"/>
  <c r="B10166" i="1"/>
  <c r="A10167" i="1"/>
  <c r="B10167" i="1"/>
  <c r="A10168" i="1"/>
  <c r="B10168" i="1"/>
  <c r="A10169" i="1"/>
  <c r="B10169" i="1"/>
  <c r="A10170" i="1"/>
  <c r="B10170" i="1"/>
  <c r="A10171" i="1"/>
  <c r="B10171" i="1"/>
  <c r="A10172" i="1"/>
  <c r="B10172" i="1"/>
  <c r="A10173" i="1"/>
  <c r="B10173" i="1"/>
  <c r="A10174" i="1"/>
  <c r="B10174" i="1"/>
  <c r="A10175" i="1"/>
  <c r="A10176" i="1"/>
  <c r="B10176" i="1"/>
  <c r="A10177" i="1"/>
  <c r="B10177" i="1"/>
  <c r="A10178" i="1"/>
  <c r="B10178" i="1"/>
  <c r="A10179" i="1"/>
  <c r="A10180" i="1"/>
  <c r="B10180" i="1"/>
  <c r="A10181" i="1"/>
  <c r="B10181" i="1"/>
  <c r="A10182" i="1"/>
  <c r="B10182" i="1"/>
  <c r="A10183" i="1"/>
  <c r="B10183" i="1"/>
  <c r="A10184" i="1"/>
  <c r="A10185" i="1"/>
  <c r="B10185" i="1"/>
  <c r="A10186" i="1"/>
  <c r="B10186" i="1"/>
  <c r="A10187" i="1"/>
  <c r="A10188" i="1"/>
  <c r="B10188" i="1"/>
  <c r="A10189" i="1"/>
  <c r="B10189" i="1"/>
  <c r="A10190" i="1"/>
  <c r="B10190" i="1"/>
  <c r="A10191" i="1"/>
  <c r="B10191" i="1"/>
  <c r="A10192" i="1"/>
  <c r="A10193" i="1"/>
  <c r="A10194" i="1"/>
  <c r="B10194" i="1"/>
  <c r="A10195" i="1"/>
  <c r="A10196" i="1"/>
  <c r="B10196" i="1"/>
  <c r="A10197" i="1"/>
  <c r="A10198" i="1"/>
  <c r="B10198" i="1"/>
  <c r="A10199" i="1"/>
  <c r="B10199" i="1"/>
  <c r="A10200" i="1"/>
  <c r="A10201" i="1"/>
  <c r="A10202" i="1"/>
  <c r="B10202" i="1"/>
  <c r="A10203" i="1"/>
  <c r="B10203" i="1"/>
  <c r="A10204" i="1"/>
  <c r="A10205" i="1"/>
  <c r="A10206" i="1"/>
  <c r="A10207" i="1"/>
  <c r="B10207" i="1"/>
  <c r="A10208" i="1"/>
  <c r="A10209" i="1"/>
  <c r="B10209" i="1"/>
  <c r="A10210" i="1"/>
  <c r="B10210" i="1"/>
  <c r="A10211" i="1"/>
  <c r="B10211" i="1"/>
  <c r="A10212" i="1"/>
  <c r="B10212" i="1"/>
  <c r="A10213" i="1"/>
  <c r="B10213" i="1"/>
  <c r="A10214" i="1"/>
  <c r="A10215" i="1"/>
  <c r="B10215" i="1"/>
  <c r="A10216" i="1"/>
  <c r="A10217" i="1"/>
  <c r="A10218" i="1"/>
  <c r="A10219" i="1"/>
  <c r="A10220" i="1"/>
  <c r="B10220" i="1"/>
  <c r="A10221" i="1"/>
  <c r="B10221" i="1"/>
  <c r="A10222" i="1"/>
  <c r="B10222" i="1"/>
  <c r="A10223" i="1"/>
  <c r="A10224" i="1"/>
  <c r="A10225" i="1"/>
  <c r="B10225" i="1"/>
  <c r="A10226" i="1"/>
  <c r="A10227" i="1"/>
  <c r="B10227" i="1"/>
  <c r="A10228" i="1"/>
  <c r="B10228" i="1"/>
  <c r="A10229" i="1"/>
  <c r="A10230" i="1"/>
  <c r="B10230" i="1"/>
  <c r="A10231" i="1"/>
  <c r="B10231" i="1"/>
  <c r="A10232" i="1"/>
  <c r="B10232" i="1"/>
  <c r="A10233" i="1"/>
  <c r="B10233" i="1"/>
  <c r="A10234" i="1"/>
  <c r="B10234" i="1"/>
  <c r="A10235" i="1"/>
  <c r="B10235" i="1"/>
  <c r="A10236" i="1"/>
  <c r="A10237" i="1"/>
  <c r="B10237" i="1"/>
  <c r="A10238" i="1"/>
  <c r="B10238" i="1"/>
  <c r="A10239" i="1"/>
  <c r="B10239" i="1"/>
  <c r="A10240" i="1"/>
  <c r="B10240" i="1"/>
  <c r="A10241" i="1"/>
  <c r="B10241" i="1"/>
  <c r="A10242" i="1"/>
  <c r="B10242" i="1"/>
  <c r="A10243" i="1"/>
  <c r="B10243" i="1"/>
  <c r="A10244" i="1"/>
  <c r="B10244" i="1"/>
  <c r="A10245" i="1"/>
  <c r="B10245" i="1"/>
  <c r="A10246" i="1"/>
  <c r="B10246" i="1"/>
  <c r="A10247" i="1"/>
  <c r="B10247" i="1"/>
  <c r="A10248" i="1"/>
  <c r="B10248" i="1"/>
  <c r="A10249" i="1"/>
  <c r="B10249" i="1"/>
  <c r="A10250" i="1"/>
  <c r="B10250" i="1"/>
  <c r="A10251" i="1"/>
  <c r="B10251" i="1"/>
  <c r="A10252" i="1"/>
  <c r="B10252" i="1"/>
  <c r="A10253" i="1"/>
  <c r="B10253" i="1"/>
  <c r="A10254" i="1"/>
  <c r="A10255" i="1"/>
  <c r="B10255" i="1"/>
  <c r="A10256" i="1"/>
  <c r="B10256" i="1"/>
  <c r="A10257" i="1"/>
  <c r="B10257" i="1"/>
  <c r="A10258" i="1"/>
  <c r="B10258" i="1"/>
  <c r="A10259" i="1"/>
  <c r="B10259" i="1"/>
  <c r="A10260" i="1"/>
  <c r="B10260" i="1"/>
  <c r="A10261" i="1"/>
  <c r="B10261" i="1"/>
  <c r="A10262" i="1"/>
  <c r="B10262" i="1"/>
  <c r="A10263" i="1"/>
  <c r="A10264" i="1"/>
  <c r="A10265" i="1"/>
  <c r="B10265" i="1"/>
  <c r="A10266" i="1"/>
  <c r="B10266" i="1"/>
  <c r="A10267" i="1"/>
  <c r="B10267" i="1"/>
  <c r="A10268" i="1"/>
  <c r="B10268" i="1"/>
  <c r="A10269" i="1"/>
  <c r="B10269" i="1"/>
  <c r="A10270" i="1"/>
  <c r="B10270" i="1"/>
  <c r="A10271" i="1"/>
  <c r="A10272" i="1"/>
  <c r="B10272" i="1"/>
  <c r="A10273" i="1"/>
  <c r="A10274" i="1"/>
  <c r="B10274" i="1"/>
  <c r="A10275" i="1"/>
  <c r="B10275" i="1"/>
  <c r="A10276" i="1"/>
  <c r="B10276" i="1"/>
  <c r="A10277" i="1"/>
  <c r="B10277" i="1"/>
  <c r="A10278" i="1"/>
  <c r="B10278" i="1"/>
  <c r="A10279" i="1"/>
  <c r="B10279" i="1"/>
  <c r="A10280" i="1"/>
  <c r="B10280" i="1"/>
  <c r="A10281" i="1"/>
  <c r="B10281" i="1"/>
  <c r="A10282" i="1"/>
  <c r="A10283" i="1"/>
  <c r="A10284" i="1"/>
  <c r="B10284" i="1"/>
  <c r="A10285" i="1"/>
  <c r="B10285" i="1"/>
  <c r="A10286" i="1"/>
  <c r="B10286" i="1"/>
  <c r="A10287" i="1"/>
  <c r="B10287" i="1"/>
  <c r="A10288" i="1"/>
  <c r="B10288" i="1"/>
  <c r="A10289" i="1"/>
  <c r="B10289" i="1"/>
  <c r="A10290" i="1"/>
  <c r="B10290" i="1"/>
  <c r="A10291" i="1"/>
  <c r="B10291" i="1"/>
  <c r="A10292" i="1"/>
  <c r="B10292" i="1"/>
  <c r="A10293" i="1"/>
  <c r="A10294" i="1"/>
  <c r="A10295" i="1"/>
  <c r="B10295" i="1"/>
  <c r="A10296" i="1"/>
  <c r="A10297" i="1"/>
  <c r="B10297" i="1"/>
  <c r="A10298" i="1"/>
  <c r="A10299" i="1"/>
  <c r="B10299" i="1"/>
  <c r="A10300" i="1"/>
  <c r="B10300" i="1"/>
  <c r="A10301" i="1"/>
  <c r="A10302" i="1"/>
  <c r="B10302" i="1"/>
  <c r="A10303" i="1"/>
  <c r="B10303" i="1"/>
  <c r="A10304" i="1"/>
  <c r="A10305" i="1"/>
  <c r="B10305" i="1"/>
  <c r="A10306" i="1"/>
  <c r="B10306" i="1"/>
  <c r="A10307" i="1"/>
  <c r="B10307" i="1"/>
  <c r="A10308" i="1"/>
  <c r="B10308" i="1"/>
  <c r="A10309" i="1"/>
  <c r="B10309" i="1"/>
  <c r="A10310" i="1"/>
  <c r="B10310" i="1"/>
  <c r="A10311" i="1"/>
  <c r="B10311" i="1"/>
  <c r="A10312" i="1"/>
  <c r="B10312" i="1"/>
  <c r="A10313" i="1"/>
  <c r="B10313" i="1"/>
  <c r="A10314" i="1"/>
  <c r="B10314" i="1"/>
  <c r="A10315" i="1"/>
  <c r="B10315" i="1"/>
  <c r="A10316" i="1"/>
  <c r="A10317" i="1"/>
  <c r="A10318" i="1"/>
  <c r="A10319" i="1"/>
  <c r="A10320" i="1"/>
  <c r="A10321" i="1"/>
  <c r="A10322" i="1"/>
  <c r="A10323" i="1"/>
  <c r="A10324" i="1"/>
  <c r="B10324" i="1"/>
  <c r="A10325" i="1"/>
  <c r="A10326" i="1"/>
  <c r="A10327" i="1"/>
  <c r="A10328" i="1"/>
  <c r="B10328" i="1"/>
  <c r="A10329" i="1"/>
  <c r="A10330" i="1"/>
  <c r="A10331" i="1"/>
  <c r="B10331" i="1"/>
  <c r="A10332" i="1"/>
  <c r="B10332" i="1"/>
  <c r="A10333" i="1"/>
  <c r="B10333" i="1"/>
  <c r="A10334" i="1"/>
  <c r="B10334" i="1"/>
  <c r="A10335" i="1"/>
  <c r="B10335" i="1"/>
  <c r="A10336" i="1"/>
  <c r="B10336" i="1"/>
  <c r="A10337" i="1"/>
  <c r="B10337" i="1"/>
  <c r="A10338" i="1"/>
  <c r="B10338" i="1"/>
  <c r="A10339" i="1"/>
  <c r="A10340" i="1"/>
  <c r="B10340" i="1"/>
  <c r="A10341" i="1"/>
  <c r="A10342" i="1"/>
  <c r="B10342" i="1"/>
  <c r="A10343" i="1"/>
  <c r="B10343" i="1"/>
  <c r="A10344" i="1"/>
  <c r="B10344" i="1"/>
  <c r="A10345" i="1"/>
  <c r="B10345" i="1"/>
  <c r="A10346" i="1"/>
  <c r="B10346" i="1"/>
  <c r="A10347" i="1"/>
  <c r="B10347" i="1"/>
  <c r="A10348" i="1"/>
  <c r="B10348" i="1"/>
  <c r="A10349" i="1"/>
  <c r="B10349" i="1"/>
  <c r="A10350" i="1"/>
  <c r="B10350" i="1"/>
  <c r="A10351" i="1"/>
  <c r="B10351" i="1"/>
  <c r="A10352" i="1"/>
  <c r="B10352" i="1"/>
  <c r="A10353" i="1"/>
  <c r="B10353" i="1"/>
  <c r="A10354" i="1"/>
  <c r="B10354" i="1"/>
  <c r="A10355" i="1"/>
  <c r="B10355" i="1"/>
  <c r="A10356" i="1"/>
  <c r="B10356" i="1"/>
  <c r="A10357" i="1"/>
  <c r="B10357" i="1"/>
  <c r="A10358" i="1"/>
  <c r="B10358" i="1"/>
  <c r="A10359" i="1"/>
  <c r="B10359" i="1"/>
  <c r="A10360" i="1"/>
  <c r="A10361" i="1"/>
  <c r="B10361" i="1"/>
  <c r="A10362" i="1"/>
  <c r="B10362" i="1"/>
  <c r="A10363" i="1"/>
  <c r="B10363" i="1"/>
  <c r="A10364" i="1"/>
  <c r="A10365" i="1"/>
  <c r="B10365" i="1"/>
  <c r="A10366" i="1"/>
  <c r="B10366" i="1"/>
  <c r="A10367" i="1"/>
  <c r="B10367" i="1"/>
  <c r="A10368" i="1"/>
  <c r="B10368" i="1"/>
  <c r="A10369" i="1"/>
  <c r="B10369" i="1"/>
  <c r="A10370" i="1"/>
  <c r="B10370" i="1"/>
  <c r="A10371" i="1"/>
  <c r="B10371" i="1"/>
  <c r="A10372" i="1"/>
  <c r="B10372" i="1"/>
  <c r="A10373" i="1"/>
  <c r="B10373" i="1"/>
  <c r="A10374" i="1"/>
  <c r="B10374" i="1"/>
  <c r="A10375" i="1"/>
  <c r="B10375" i="1"/>
  <c r="A10376" i="1"/>
  <c r="A10377" i="1"/>
  <c r="B10377" i="1"/>
  <c r="A10378" i="1"/>
  <c r="B10378" i="1"/>
  <c r="A10379" i="1"/>
  <c r="B10379" i="1"/>
  <c r="A10380" i="1"/>
  <c r="B10380" i="1"/>
  <c r="A10381" i="1"/>
  <c r="A10382" i="1"/>
  <c r="B10382" i="1"/>
  <c r="A10383" i="1"/>
  <c r="B10383" i="1"/>
  <c r="A10384" i="1"/>
  <c r="B10384" i="1"/>
  <c r="A10385" i="1"/>
  <c r="A10386" i="1"/>
  <c r="A10387" i="1"/>
  <c r="B10387" i="1"/>
  <c r="A10388" i="1"/>
  <c r="B10388" i="1"/>
  <c r="A10389" i="1"/>
  <c r="B10389" i="1"/>
  <c r="A10390" i="1"/>
  <c r="B10390" i="1"/>
  <c r="A10391" i="1"/>
  <c r="B10391" i="1"/>
  <c r="A10392" i="1"/>
  <c r="B10392" i="1"/>
  <c r="A10393" i="1"/>
  <c r="A10394" i="1"/>
  <c r="A10395" i="1"/>
  <c r="B10395" i="1"/>
  <c r="A10396" i="1"/>
  <c r="A10397" i="1"/>
  <c r="B10397" i="1"/>
  <c r="A10398" i="1"/>
  <c r="B10398" i="1"/>
  <c r="A10399" i="1"/>
  <c r="B10399" i="1"/>
  <c r="A10400" i="1"/>
  <c r="B10400" i="1"/>
  <c r="A10401" i="1"/>
  <c r="B10401" i="1"/>
  <c r="A10402" i="1"/>
  <c r="B10402" i="1"/>
  <c r="A10403" i="1"/>
  <c r="B10403" i="1"/>
  <c r="A10404" i="1"/>
  <c r="B10404" i="1"/>
  <c r="A10405" i="1"/>
  <c r="B10405" i="1"/>
  <c r="A10406" i="1"/>
  <c r="B10406" i="1"/>
  <c r="A10407" i="1"/>
  <c r="B10407" i="1"/>
  <c r="A10408" i="1"/>
  <c r="B10408" i="1"/>
  <c r="A10409" i="1"/>
  <c r="B10409" i="1"/>
  <c r="A10410" i="1"/>
  <c r="B10410" i="1"/>
  <c r="A10411" i="1"/>
  <c r="B10411" i="1"/>
  <c r="A10412" i="1"/>
  <c r="B10412" i="1"/>
  <c r="A10413" i="1"/>
  <c r="B10413" i="1"/>
  <c r="A10414" i="1"/>
  <c r="B10414" i="1"/>
  <c r="A10415" i="1"/>
  <c r="B10415" i="1"/>
  <c r="A10416" i="1"/>
  <c r="B10416" i="1"/>
  <c r="A10417" i="1"/>
  <c r="B10417" i="1"/>
  <c r="A10418" i="1"/>
  <c r="B10418" i="1"/>
  <c r="A10419" i="1"/>
  <c r="B10419" i="1"/>
  <c r="A10420" i="1"/>
  <c r="B10420" i="1"/>
  <c r="A10421" i="1"/>
  <c r="B10421" i="1"/>
  <c r="A10422" i="1"/>
  <c r="B10422" i="1"/>
  <c r="A10423" i="1"/>
  <c r="B10423" i="1"/>
  <c r="A10424" i="1"/>
  <c r="B10424" i="1"/>
  <c r="A10425" i="1"/>
  <c r="B10425" i="1"/>
  <c r="A10426" i="1"/>
  <c r="B10426" i="1"/>
  <c r="A10427" i="1"/>
  <c r="B10427" i="1"/>
  <c r="A10428" i="1"/>
  <c r="B10428" i="1"/>
  <c r="A10429" i="1"/>
  <c r="A10430" i="1"/>
  <c r="B10430" i="1"/>
  <c r="A10431" i="1"/>
  <c r="B10431" i="1"/>
  <c r="A10432" i="1"/>
  <c r="B10432" i="1"/>
  <c r="A10433" i="1"/>
  <c r="B10433" i="1"/>
  <c r="A10434" i="1"/>
  <c r="B10434" i="1"/>
  <c r="A10435" i="1"/>
  <c r="A10436" i="1"/>
  <c r="A10437" i="1"/>
  <c r="B10437" i="1"/>
  <c r="A10438" i="1"/>
  <c r="B10438" i="1"/>
  <c r="A10439" i="1"/>
  <c r="B10439" i="1"/>
  <c r="A10440" i="1"/>
  <c r="B10440" i="1"/>
  <c r="A10441" i="1"/>
  <c r="B10441" i="1"/>
  <c r="A10442" i="1"/>
  <c r="B10442" i="1"/>
  <c r="A10443" i="1"/>
  <c r="B10443" i="1"/>
  <c r="A10444" i="1"/>
  <c r="A10445" i="1"/>
  <c r="B10445" i="1"/>
  <c r="A10446" i="1"/>
  <c r="B10446" i="1"/>
  <c r="A10447" i="1"/>
  <c r="B10447" i="1"/>
  <c r="A10448" i="1"/>
  <c r="B10448" i="1"/>
  <c r="A10449" i="1"/>
  <c r="A10450" i="1"/>
  <c r="B10450" i="1"/>
  <c r="A10451" i="1"/>
  <c r="A10452" i="1"/>
  <c r="B10452" i="1"/>
  <c r="A10453" i="1"/>
  <c r="B10453" i="1"/>
  <c r="A10454" i="1"/>
  <c r="A10455" i="1"/>
  <c r="B10455" i="1"/>
  <c r="A10456" i="1"/>
  <c r="A10457" i="1"/>
  <c r="B10457" i="1"/>
  <c r="A10458" i="1"/>
  <c r="B10458" i="1"/>
  <c r="A10459" i="1"/>
  <c r="B10459" i="1"/>
  <c r="A10460" i="1"/>
  <c r="B10460" i="1"/>
  <c r="A10461" i="1"/>
  <c r="A10462" i="1"/>
  <c r="B10462" i="1"/>
  <c r="A10463" i="1"/>
  <c r="B10463" i="1"/>
  <c r="A10464" i="1"/>
  <c r="B10464" i="1"/>
  <c r="A10465" i="1"/>
  <c r="A10466" i="1"/>
  <c r="A10467" i="1"/>
  <c r="A10468" i="1"/>
  <c r="A10469" i="1"/>
  <c r="B10469" i="1"/>
  <c r="A10470" i="1"/>
  <c r="B10470" i="1"/>
  <c r="A10471" i="1"/>
  <c r="B10471" i="1"/>
  <c r="A10472" i="1"/>
  <c r="B10472" i="1"/>
  <c r="A10473" i="1"/>
  <c r="A10474" i="1"/>
  <c r="A10475" i="1"/>
  <c r="A10476" i="1"/>
  <c r="A10477" i="1"/>
  <c r="B10477" i="1"/>
  <c r="A10478" i="1"/>
  <c r="B10478" i="1"/>
  <c r="A10479" i="1"/>
  <c r="A10480" i="1"/>
  <c r="B10480" i="1"/>
  <c r="A10481" i="1"/>
  <c r="B10481" i="1"/>
  <c r="A10482" i="1"/>
  <c r="B10482" i="1"/>
  <c r="A10483" i="1"/>
  <c r="B10483" i="1"/>
  <c r="A10484" i="1"/>
  <c r="A10485" i="1"/>
  <c r="B10485" i="1"/>
  <c r="A10486" i="1"/>
  <c r="A10487" i="1"/>
  <c r="A10488" i="1"/>
  <c r="B10488" i="1"/>
  <c r="A10489" i="1"/>
  <c r="B10489" i="1"/>
  <c r="A10490" i="1"/>
  <c r="B10490" i="1"/>
  <c r="A10491" i="1"/>
  <c r="B10491" i="1"/>
  <c r="A10492" i="1"/>
  <c r="B10492" i="1"/>
  <c r="A10493" i="1"/>
  <c r="B10493" i="1"/>
  <c r="A10494" i="1"/>
  <c r="B10494" i="1"/>
  <c r="A10495" i="1"/>
  <c r="B10495" i="1"/>
  <c r="A10496" i="1"/>
  <c r="B10496" i="1"/>
  <c r="A10497" i="1"/>
  <c r="B10497" i="1"/>
  <c r="A10498" i="1"/>
  <c r="B10498" i="1"/>
  <c r="A10499" i="1"/>
  <c r="A10500" i="1"/>
  <c r="B10500" i="1"/>
  <c r="A10501" i="1"/>
  <c r="B10501" i="1"/>
  <c r="A10502" i="1"/>
  <c r="B10502" i="1"/>
  <c r="A10503" i="1"/>
  <c r="B10503" i="1"/>
  <c r="A10504" i="1"/>
  <c r="A10505" i="1"/>
  <c r="B10505" i="1"/>
  <c r="A10506" i="1"/>
  <c r="B10506" i="1"/>
  <c r="A10507" i="1"/>
  <c r="B10507" i="1"/>
  <c r="A10508" i="1"/>
  <c r="B10508" i="1"/>
  <c r="A10509" i="1"/>
  <c r="B10509" i="1"/>
  <c r="A10510" i="1"/>
  <c r="A10511" i="1"/>
  <c r="B10511" i="1"/>
  <c r="A10512" i="1"/>
  <c r="B10512" i="1"/>
  <c r="A10513" i="1"/>
  <c r="B10513" i="1"/>
  <c r="A10514" i="1"/>
  <c r="B10514" i="1"/>
  <c r="A10515" i="1"/>
  <c r="B10515" i="1"/>
  <c r="A10516" i="1"/>
  <c r="B10516" i="1"/>
  <c r="A10517" i="1"/>
  <c r="B10517" i="1"/>
  <c r="A10518" i="1"/>
  <c r="B10518" i="1"/>
  <c r="A10519" i="1"/>
  <c r="B10519" i="1"/>
  <c r="A10520" i="1"/>
  <c r="B10520" i="1"/>
  <c r="A10521" i="1"/>
  <c r="A10522" i="1"/>
  <c r="B10522" i="1"/>
  <c r="A10523" i="1"/>
  <c r="B10523" i="1"/>
  <c r="A10524" i="1"/>
  <c r="B10524" i="1"/>
  <c r="A10525" i="1"/>
  <c r="B10525" i="1"/>
  <c r="A10526" i="1"/>
  <c r="A10527" i="1"/>
  <c r="B10527" i="1"/>
  <c r="A10528" i="1"/>
  <c r="B10528" i="1"/>
  <c r="A10529" i="1"/>
  <c r="B10529" i="1"/>
  <c r="A10530" i="1"/>
  <c r="B10530" i="1"/>
  <c r="A10531" i="1"/>
  <c r="B10531" i="1"/>
  <c r="A10532" i="1"/>
  <c r="B10532" i="1"/>
  <c r="A10533" i="1"/>
  <c r="B10533" i="1"/>
  <c r="A10534" i="1"/>
  <c r="A10535" i="1"/>
  <c r="B10535" i="1"/>
  <c r="A10536" i="1"/>
  <c r="A10537" i="1"/>
  <c r="B10537" i="1"/>
  <c r="A10538" i="1"/>
  <c r="B10538" i="1"/>
  <c r="A10539" i="1"/>
  <c r="B10539" i="1"/>
  <c r="A10540" i="1"/>
  <c r="B10540" i="1"/>
  <c r="A10541" i="1"/>
  <c r="B10541" i="1"/>
  <c r="A10542" i="1"/>
  <c r="A10543" i="1"/>
  <c r="A10544" i="1"/>
  <c r="A10545" i="1"/>
  <c r="A10546" i="1"/>
  <c r="B10546" i="1"/>
  <c r="A10547" i="1"/>
  <c r="B10547" i="1"/>
  <c r="A10548" i="1"/>
  <c r="B10548" i="1"/>
  <c r="A10549" i="1"/>
  <c r="B10549" i="1"/>
  <c r="A10550" i="1"/>
  <c r="B10550" i="1"/>
  <c r="A10551" i="1"/>
  <c r="B10551" i="1"/>
  <c r="A10552" i="1"/>
  <c r="B10552" i="1"/>
  <c r="A10553" i="1"/>
  <c r="B10553" i="1"/>
  <c r="A10554" i="1"/>
  <c r="B10554" i="1"/>
  <c r="A10555" i="1"/>
  <c r="B10555" i="1"/>
  <c r="A10556" i="1"/>
  <c r="B10556" i="1"/>
  <c r="A10557" i="1"/>
  <c r="B10557" i="1"/>
  <c r="A10558" i="1"/>
  <c r="B10558" i="1"/>
  <c r="A10559" i="1"/>
  <c r="A10560" i="1"/>
  <c r="B10560" i="1"/>
  <c r="A10561" i="1"/>
  <c r="B10561" i="1"/>
  <c r="A10562" i="1"/>
  <c r="B10562" i="1"/>
  <c r="A10563" i="1"/>
  <c r="A10564" i="1"/>
  <c r="A10565" i="1"/>
  <c r="B10565" i="1"/>
  <c r="A10566" i="1"/>
  <c r="A10567" i="1"/>
  <c r="A10568" i="1"/>
  <c r="A10569" i="1"/>
  <c r="B10569" i="1"/>
  <c r="A10570" i="1"/>
  <c r="A10571" i="1"/>
  <c r="B10571" i="1"/>
  <c r="A10572" i="1"/>
  <c r="B10572" i="1"/>
  <c r="A10573" i="1"/>
  <c r="A10574" i="1"/>
  <c r="A10575" i="1"/>
  <c r="B10575" i="1"/>
  <c r="A10576" i="1"/>
  <c r="B10576" i="1"/>
  <c r="A10577" i="1"/>
  <c r="A10578" i="1"/>
  <c r="B10578" i="1"/>
  <c r="A10579" i="1"/>
  <c r="B10579" i="1"/>
  <c r="A10580" i="1"/>
  <c r="B10580" i="1"/>
  <c r="A10581" i="1"/>
  <c r="B10581" i="1"/>
  <c r="A10582" i="1"/>
  <c r="B10582" i="1"/>
  <c r="A10583" i="1"/>
  <c r="B10583" i="1"/>
  <c r="A10584" i="1"/>
  <c r="A10585" i="1"/>
  <c r="B10585" i="1"/>
  <c r="A10586" i="1"/>
  <c r="B10586" i="1"/>
  <c r="A10587" i="1"/>
  <c r="B10587" i="1"/>
  <c r="A10588" i="1"/>
  <c r="B10588" i="1"/>
  <c r="A10589" i="1"/>
  <c r="B10589" i="1"/>
  <c r="A10590" i="1"/>
  <c r="B10590" i="1"/>
  <c r="A10591" i="1"/>
  <c r="B10591" i="1"/>
  <c r="A10592" i="1"/>
  <c r="B10592" i="1"/>
  <c r="A10593" i="1"/>
  <c r="B10593" i="1"/>
  <c r="A10594" i="1"/>
  <c r="B10594" i="1"/>
  <c r="A10595" i="1"/>
  <c r="B10595" i="1"/>
  <c r="A10596" i="1"/>
  <c r="B10596" i="1"/>
  <c r="A10597" i="1"/>
  <c r="B10597" i="1"/>
  <c r="A10598" i="1"/>
  <c r="B10598" i="1"/>
  <c r="A10599" i="1"/>
  <c r="B10599" i="1"/>
  <c r="A10600" i="1"/>
  <c r="B10600" i="1"/>
  <c r="A10601" i="1"/>
  <c r="A10602" i="1"/>
  <c r="A10603" i="1"/>
  <c r="A10604" i="1"/>
  <c r="B10604" i="1"/>
  <c r="A10605" i="1"/>
  <c r="B10605" i="1"/>
  <c r="A10606" i="1"/>
  <c r="B10606" i="1"/>
  <c r="A10607" i="1"/>
  <c r="B10607" i="1"/>
  <c r="A10608" i="1"/>
  <c r="A10609" i="1"/>
  <c r="B10609" i="1"/>
  <c r="A10610" i="1"/>
  <c r="B10610" i="1"/>
  <c r="A10611" i="1"/>
  <c r="B10611" i="1"/>
  <c r="A10612" i="1"/>
  <c r="A10613" i="1"/>
  <c r="A10614" i="1"/>
  <c r="B10614" i="1"/>
  <c r="A10615" i="1"/>
  <c r="B10615" i="1"/>
  <c r="A10616" i="1"/>
  <c r="B10616" i="1"/>
  <c r="A10617" i="1"/>
  <c r="B10617" i="1"/>
  <c r="A10618" i="1"/>
  <c r="B10618" i="1"/>
  <c r="A10619" i="1"/>
  <c r="B10619" i="1"/>
  <c r="A10620" i="1"/>
  <c r="B10620" i="1"/>
  <c r="A10621" i="1"/>
  <c r="B10621" i="1"/>
  <c r="A10622" i="1"/>
  <c r="A10623" i="1"/>
  <c r="B10623" i="1"/>
  <c r="A10624" i="1"/>
  <c r="B10624" i="1"/>
  <c r="A10625" i="1"/>
  <c r="B10625" i="1"/>
  <c r="A10626" i="1"/>
  <c r="B10626" i="1"/>
  <c r="A10627" i="1"/>
  <c r="B10627" i="1"/>
  <c r="A10628" i="1"/>
  <c r="B10628" i="1"/>
  <c r="A10629" i="1"/>
  <c r="B10629" i="1"/>
  <c r="A10630" i="1"/>
  <c r="B10630" i="1"/>
  <c r="A10631" i="1"/>
  <c r="B10631" i="1"/>
  <c r="A10632" i="1"/>
  <c r="B10632" i="1"/>
  <c r="A10633" i="1"/>
  <c r="B10633" i="1"/>
  <c r="A10634" i="1"/>
  <c r="B10634" i="1"/>
</calcChain>
</file>

<file path=xl/sharedStrings.xml><?xml version="1.0" encoding="utf-8"?>
<sst xmlns="http://schemas.openxmlformats.org/spreadsheetml/2006/main" count="2480" uniqueCount="513">
  <si>
    <t>Produced:</t>
  </si>
  <si>
    <t>Mois(C):</t>
  </si>
  <si>
    <t>Annee(C):</t>
  </si>
  <si>
    <t>BUREAU(C):</t>
  </si>
  <si>
    <t>SYSCOM(C):</t>
  </si>
  <si>
    <t>FLUX(C):</t>
  </si>
  <si>
    <t>PROVDEST(C):</t>
  </si>
  <si>
    <t>PARTENAIRE(B):</t>
  </si>
  <si>
    <t>Y Axis (1)</t>
  </si>
  <si>
    <t>PRODUIT(B):</t>
  </si>
  <si>
    <t>Y Axis (2)</t>
  </si>
  <si>
    <t>INDICATORS(B):</t>
  </si>
  <si>
    <t>X Axis (1)</t>
  </si>
  <si>
    <t>=t("   Viandes et abats comestibles de pigeons, de phoques, de gibier, de rennes et d'autres espèces animales, frais, réfrigérés ou congelés (à l'excl. des viandes et abats d'animaux des espèces bovine, porcine, ovine, caprine, chevaline, asine ou mulassi</t>
  </si>
  <si>
    <t>=t("   VIANDES ET ABATS COMESTIBLES, SALÉS OU EN SAUMURE, SÉCHÉS OU FUMÉS, ET FARINES ET POUDRES COMESTIBLES DE VIANDES ET D'ABATS (À L'EXCL. DES VIANDES DES ESPÈCES PORCINE ET BOVINE AINSI QUE DES VIANDES ET ABATS COMESTIBLES DE PRIMATES, DE BALEINES, DE</t>
  </si>
  <si>
    <t>=t("   POISSONS, VIVANTS (À L'EXCL. DES POISSONS D'ORNEMENT, DES TRUITES [SALMO TRUTTA, ONCORHYNCHUS MYKISS, ONCORHYNCHUS CLARKI, ONCORHYNCHUS AGUABONITA, ONCORHYNCHUS GILAE, ONCORHYNCHUS APACHE ET ONCORHYNCHUS CHRYSOGASTER], DES ANGUILLES [ANGUILLA SPP.]</t>
  </si>
  <si>
    <t>=t("   Poissons de mer et d'eau douce, comestibles, frais ou réfrigérés (à l'excl. des salmonidés, des poissons plats, des thons, des listaos ou bonites à ventre rayé, des harengs, des morues, des sardines, des sardinelles, des sprats ou esprots, des égle</t>
  </si>
  <si>
    <t>=t("   POISSONS D'EAU DOUCE ET DE MER, COMESTIBLES, CONGELÉS (À L'EXCL. DES SALMONIDÉS, DES POISSONS PLATS, DES THONS, DES LISTAOS OU BONITES À VENTRE RAYÉ, DES HARENGS, DES MORUES, DES ESPADONS, DES LÉGINES, DES SARDINES, DES SARDINELLES, DES SPRATS OU E</t>
  </si>
  <si>
    <t>=t("   FROMAGES (À L'EXCL. DES FROMAGES FRAIS [NON-AFFINÉS], Y.C. LE FROMAGE DE LACTOSÉRUM, DE LA CAILLEBOTTE, DES FROMAGES FONDUS, DES FROMAGES À PÂTE PERSILLÉE ET AUTRES FROMAGES PRÉSENTANT DES MARBRURES OBTENUES EN UTILISANT DU 'PENICILLIUM ROQUEFORTI'</t>
  </si>
  <si>
    <t>=t("   Légumes, à l'état frais ou réfrigéré (sauf pommes de terre, tomates, légumes alliacés, choux du genre Brassica, laitues [Lactuca sativa] et chicorées [Cichorium spp.], carottes, navets, betteraves à salade, salsifis, céleris, radis et racines comes</t>
  </si>
  <si>
    <t>=t("   Champignons et truffes, conservés provisoirement [p.ex. au moyen de gaz sulfureux ou dans de l'eau salée, soufrée ou additionnée d'autres substances servant à assurer provisoirement leur conservation], mais impropres à l'alimentation en l'état (à l</t>
  </si>
  <si>
    <t>=t("   Citrons "Citrus limon, Citrus limonum" et limes "Citrus aurantifolia, Citrus latifolia", frais ou secs")</t>
  </si>
  <si>
    <t>=t("   AGRUMES, FRAIS OU SECS (À L'EXCL. DES ORANGES, DES CITRONS 'CITRUS LIMON, CITRUS LIMONUM', DES LIMES 'CITRUS AURANTIFOLIA, CITRUS LATIFOLIA', DES PAMPLEMOUSSES, DES POMÉLOS, DES MANDARINES - Y.C. LES TANGERINES ET LES SATSUMAS -, DES CLÉMENTINES, D</t>
  </si>
  <si>
    <t>=t("   Tamarins, pommes de cajou, fruits du jaquier [pain des singes], litchis, sapotilles, fruits de la passion, caramboles, pitahayas et autres fruits comestibles frais (sauf fruits à coque, bananes, dattes, figues, ananas, avocats, goyaves, mangues, ma</t>
  </si>
  <si>
    <t>=t("   THÉ NOIR [FERMENTÉ] ET THÉ PARTIELLEMENT FERMENTÉ, MÊME AROMATISÉS, PRÉSENTÉS EN EMBALLAGES IMMÉDIATS D'UN CONTENU &lt;= 3 KG [01/01/1988-31/12/1991: THÉ NOIR [THÉ FERMENTE], ET THÉ PARTIELLEMENT FERMENTE, PRESENTES EN EMBALLAGES IMMEDIATS D'UN CONTEN</t>
  </si>
  <si>
    <t>=t("   THÉ NOIR [FERMENTÉ] ET THÉ PARTIELLEMENT FERMENTÉ, MÊME AROMATISÉS, PRÉSENTÉS EN EMBALLAGES IMMÉDIATS D'UN CONTENU &gt; 3 KG [01/01/1988-31/12/1991: THÉ NOIR [THÉ FERMENTE], ET THÉ PARTIELLEMENT FERMENTE, PRESENTES EN EMBALLAGES IMMEDIATS D'UN CONTENU</t>
  </si>
  <si>
    <t>=t("   ÉPICES (SAUF POIVRE [DU GENRE PIPER], PIMENTS DU GENRE CAPSICUM OU DU GENRE PIMENTA, VANILLE, CANNELLE ET FLEURS DE CANNELIER, GIROFLES [ANTOFLES, CLOUS ET GRIFFES], NOIX DE MUSCADE, MACIS, AMOMES ET CARDAMOMES, GRAINES D'ANIS, DE BADIANE, DE FENOU</t>
  </si>
  <si>
    <t>=t("   Farines, semoules et poudres des produits du chapitre 8 "Fruits comestibles, écorces d'agrumes ou de melons"")</t>
  </si>
  <si>
    <t>=t("   GRAINES ET FRUITS OLÉAGINEUX, MÊME CONCASSÉS (À L'EXCL. DES FRUITS À COQUE COMESTIBLES, DES OLIVES, DES FÈVES DE SOJA, DES ARACHIDES, DU COPRAH ET DES GRAINES DE LIN, DE NAVETTE, DE COLZA, DE TOURNESOL, DE COTON, DE SÉSAME, DE MOUTARDE, D'OEILLETTE</t>
  </si>
  <si>
    <t>=t("   GRAINES FOURRAGÈRES, À ENSEMENCER (À L'EXCL. DES GRAINES DE CÉRÉALES, DE BETTERAVES À SUCRE, DE LUZERNE, DE TRÈFLE [TRIFOLIUM SPP.], DE FÉTUQUE, DE PÂTURIN DES PRÉS DU KENTUCKY [POA PRATENSIS L.] ET DE RAY-GRASS [LOLIUM MULTIFLORUM LAM. ET LOLIUM P</t>
  </si>
  <si>
    <t>=t("   Graines, fruits et spores à ensemencer (à l'excl. des légumes à cosse, du maïs doux, café, thé, maté, des épices, céréales, graines et fruits oléagineux, betteraves, plantes fourragères, graines de légumes ainsi que des graines de plantes herbacées</t>
  </si>
  <si>
    <t>=t("   PLANTES, PARTIES DE PLANTES, GRAINES ET FRUITS DES ESPÈCES UTILISÉES PRINCIPALEMENT EN PARFUMERIE, EN MÉDECINE OU À USAGES INSECTICIDES, PARASITICIDES OU SIMIL., FRAIS OU SECS, MÊME COUPÉS, CONCASSÉS OU PULVÉRISÉS (À L'EXCL. DES RACINES DE GINSENG,</t>
  </si>
  <si>
    <t>=t("   Rutabagas, betteraves fourragères, racines fourragères, foin, luzerne, trèfle, sainfoin, choux fourragers, lupin, vesces et produits fourragers simil., même agglomérés sous forme de pellets (à l'excl. de la farine et des agglomérés sous forme de pe</t>
  </si>
  <si>
    <t>=t("   Huiles et leurs fractions, obtenues exclusivement à partir d'olives et par des procédés autres que ceux mentionnés au n° 1509, même raffinées, mais non chimiquement modifiées et mélanges de ces huiles ou fractions avec des huiles ou fractions du n°</t>
  </si>
  <si>
    <t>=t("   Huiles de navette ou de colza à faible teneur en acide érucique "huiles fixes dont la teneur en acide érucique est &lt; 2%" et leurs fractions, même raffinées, mais non chimiquement modifiées (à l'excl. des huiles brutes)")</t>
  </si>
  <si>
    <t>=t("   Huiles de navette ou de colza d'une teneur élevée en acide érucique "huiles fixes dont la teneur en acide érucique est &gt;= 2%" et huiles de moutarde, et leurs fractions, même raffinées, mais non chimiquement modifiées (à l'excl. des huiles brutes)")</t>
  </si>
  <si>
    <t>=t("   Graisses et huiles végétales et leurs fractions, fixes, même raffinées, mais non chimiquement modifiées (à l'excl. des huiles de soja, d'arachide, d'olive, de palme, de tournesol, de carthame, de coton, de coco [coprah], de palmiste, de babassu, de</t>
  </si>
  <si>
    <t xml:space="preserve">=t("   Mélanges ou préparations alimentaires de graisses ou huiles animales ou végétales ou de fractions comestibles de différentes graisses ou huiles (sauf graisses et huiles et leurs fractions, partiellement ou totalement hydrogénées, interestérifiées, </t>
  </si>
  <si>
    <t>=t("   GRAISSES ET HUILES ANIMALES OU VÉGÉTALES ET LEURS FRACTIONS, CUITES, OXYDÉES, DÉSHYDRATÉES, SULFURÉES, SOUFFLÉES, STANDOLISÉES OU AUTREMENT MODIFIÉES CHIMIQUEMENT; MÉLANGES OU PRÉPARATIONS NON-ALIMENTAIRES DE GRAISSES OU D'HUILES ANIMALES OU VÉGÉTA</t>
  </si>
  <si>
    <t>=t("   Préparations et conserves de viande ou d'abats de dinde des espèces domestiques (à l'excl. des saucisses, saucissons et produits simil., des préparations finement homogénéisées, conditionnées pour la vente au détail comme aliments pour enfants ou p</t>
  </si>
  <si>
    <t>=t("   Préparations et conserves de viande ou d'abats de coqs et de poules [des espèces domestiques] (à l'excl. des saucisses, saucissons et produits simil., des préparations finement homogénéisées, conditionnées pour la vente au détail comme aliments pou</t>
  </si>
  <si>
    <t>=t("   Préparations et conserves de viande ou d'abats de canard, d'oie et de pintade [des espèces domestiques] (à l'excl. des saucisses, saucissons et produits simil., des préparations finement homogénéisées, conditionnées pour la vente au détail comme al</t>
  </si>
  <si>
    <t xml:space="preserve">=t("   Préparations et conserves de viande ou d'abats d'animaux de l'espèce porcine, y.c. les mélanges (à l'excl. des préparations et conserves constituées uniquement de jambons et de morceaux de jambon ou d'épaule et de morceaux d'épaule, des saucisses, </t>
  </si>
  <si>
    <t xml:space="preserve">=t("   Préparations et conserves de viande ou d'abats d'animaux de l'espèce bovine (à l'excl. des saucisses, saucissons et produits simil., des préparations finement homogénéisées, conditionnées pour la vente au détail comme aliments pour enfants ou pour </t>
  </si>
  <si>
    <t>=t("   Préparations et conserves à base de viande, d'abats ou de sang (à l'excl. des préparations et conserves de viande ou d'abats de volailles, de porcins et de bovins, des saucisses, saucissons et produits simil., des préparations finement homogénéisée</t>
  </si>
  <si>
    <t>=t("   Préparations et conserves de poissons entiers ou en morceaux (à l'excl. des préparations et conserves de poissons hachés, de saumons, de harengs, de sardines, de sardinelles, de sprats ou esprots, de thons, de listaos, de bonites 'Sarda spp.', de m</t>
  </si>
  <si>
    <t>=t("   Sucres, y.c. le sucre inverti [ou interverti] et le maltose chimiquement pur, à l'état solide, sucres et sirops de sucres contenant en poids à l'état sec 50% de fructose, sans addition d'aromatisants ou de colorants, succédanés du miel, même mélang</t>
  </si>
  <si>
    <t>=t("   Chocolat et autres préparations alimentaires contenant du cacao, présentés soit en blocs ou en barres d'un poids &gt; 2 kg, soit à l'état liquide ou pâteux ou en poudres, granulés ou formes simil., en récipients ou en emballages immédiats, d'un conten</t>
  </si>
  <si>
    <t>=t("   Préparations alimentaires de farines, gruaux, semoules, amidons, fécules ou extraits de malt, ne contenant pas de cacao ou contenant &lt; 40% en poids de cacao calculés sur une base entièrement dégraissée, n.d.a.; préparations alimentaires à base de l</t>
  </si>
  <si>
    <t>=t("   Mélanges et pâtes à base de farines, gruaux, semoules, amidons, fécules ou extraits de malt, ne contenant pas de cacao ou contenant &lt; 40% en poids de cacao calculés sur une base entièrement dégraissée, n.d.a.; mélanges et pâtes à base de lait, de c</t>
  </si>
  <si>
    <t>=t("   Extraits de malt; préparations alimentaires de farines, gruaux, semoules, amidons, fécules ou extraits de malt, ne contenant pas de cacao ou contenant &lt; 40% en poids de cacao calculés sur une base entièrement dégraissée, n.d.a.; préparations alimen</t>
  </si>
  <si>
    <t>=t("   Céréales (à l'excl. du maïs) en grains ou sous forme de flocons ou de grains autrement travaillés, précuites ou autrement préparées, n.d.a. (à l'excl. de la farine, du gruau et de la semoule, des préparations alimentaires à base de flocons de céréa</t>
  </si>
  <si>
    <t>=t("   Produits de la boulangerie, pâtisserie ou biscuiterie, même additionnés de cacao, hosties, cachets vides des types utilisés pour médicaments, pains à cacheter, pâtes séchées de farine, d'amidon ou de fécule en feuilles et produits simil. (sauf pain</t>
  </si>
  <si>
    <t>=t("   LÉGUMES ET MÉLANGES DE LÉGUMES, PRÉPARÉS OU CONSERVÉS AUTREMENT QU'AU VINAIGRE OU À L'ACIDE ACÉTIQUE, NON-CONGELÉS (À L'EXCL. DES LÉGUMES CONFITS AU SUCRE, DES LÉGUMES HOMOGÉNÉISÉS DU N° 2005.10, AINSI QUE DES TOMATES, DES CHAMPIGNONS, DES TRUFFES,</t>
  </si>
  <si>
    <t>=t("   Confitures, gelées, marmelades, purées et pâtes de fruits, obtenues par cuisson, avec ou sans addition de sucre ou d'autres édulcorants, présentées sous la forme de préparations finement homogénéisées, conditionnées pour la vente au détail comme al</t>
  </si>
  <si>
    <t xml:space="preserve">=t("   Confitures, gelées, marmelades, purées et pâtes de fruits, obtenues par cuisson, avec ou sans addition de sucre ou d'autres édulcorants (à l'excl. des préparations homogénéisées du n° 2007.10 ainsi que des confitures, gelées, marmelades, purées et </t>
  </si>
  <si>
    <t>=t("   FRUITS À COQUE ET AUTRES GRAINES, Y.C. LES MÉLANGES, PRÉPARÉS OU CONSERVÉS (SAUF PRÉPARÉS OU CONSERVÉS AU VINAIGRE OU À L'ACIDE ACÉTIQUE, CONFITS AU SUCRE MAIS NON-CONSERVÉS DANS DU SIROP ET À L'EXCL. DES CONFITURES, GELÉES DE FRUITS, MARMELADES, P</t>
  </si>
  <si>
    <t>=t("   ABRICOTS, PRÉPARÉS OU CONSERVÉS, AVEC OU SANS ADDITION DE SUCRE OU D'AUTRES ÉDULCORANTS OU D'ALCOOL (SAUF CONFITS AU SUCRE MAIS NON-CONSERVÉS DANS DU SIROP ET À L'EXCL. DES CONFITURES, GELÉES DE FRUITS, MARMELADES, PURÉES ET PÂTES DE FRUITS OBTENUE</t>
  </si>
  <si>
    <t>=t("   Mélanges de fruits ou d'autres parties comestibles de plantes, préparés ou conservés, avec ou sans addition de sucre ou d'autres édulcorants ou d'alcool (à l'excl. des mélanges de fruits à coque, d'arachides et d'autres graines, des préparations du</t>
  </si>
  <si>
    <t>=t("   FRUITS ET AUTRES PARTIES COMESTIBLES DE PLANTES, PRÉPARÉS OU CONSERVÉS, AVEC OU SANS ADDITION DE SUCRE OU D'AUTRES ÉDULCORANTS OU D'ALCOOL (SAUF PRÉPARÉS OU CONSERVÉS AU VINAIGRE OU À L'ACIDE ACÉTIQUE, CONFITS AU SUCRE MAIS NON-CONSERVÉS DANS DU SI</t>
  </si>
  <si>
    <t>=t("   Préparations alimentaires composites homogénéisées consistant en un mélange finement homogénéisé de plusieurs substances de base, telles que viande, poisson, légumes, fruits, conditionnées pour la vente au détail comme aliments pour enfants ou pour</t>
  </si>
  <si>
    <t>=t("   CIDRE, POIRÉ, HYDROMEL ET AUTRES BOISSONS FERMENTÉES; MÉLANGES DE BOISSONS FERMENTÉES ET MÉLANGES DE BOISSONS FERMENTÉES ET DE BOISSONS NON-ALCOOLIQUES, N.D.A. (À L'EXCL. DE LA BIÈRE, DES VINS DE RAISINS FRAIS, DES MOÛTS DE RAISINS AINSI QUE DES VE</t>
  </si>
  <si>
    <t>=t("   ALCOOL ÉTHYLIQUE D'UN TITRE ALCOOMÉTRIQUE VOLUMIQUE &lt; 80% VOL, NON-DÉNATURÉ; EAUX-DE-VIE ET AUTRES BOISSONS SPIRITUEUSES (À L'EXCL. DES EAUX-DE-VIE DE VIN OU DE MARC DE RAISINS, DES WHISKIES, DU RHUM ET AUTRES EAUX-DE-VIE PROVENANT DE LA DISTILLATI</t>
  </si>
  <si>
    <t>=t("   TIGES DE MAIS, FEUILLES DE MAIS, MARCS DE FRUITS ET AUTRES MATIÈRES, DÉCHETS, RESIDUS ET SOUS-PRODUITS VEGETAUX, MÊME AGGLOMÉRÉS SOUS FORME DE PELLETS, DES TYPES UTILISÉS POUR L'ALIMENTATION DES ANIMAUX, N.D.A. (À L'EXCL. DES GLANDS DE CHENE ET DES</t>
  </si>
  <si>
    <t>=t("   Tabac à mâcher, tabac à priser et autres tabacs et succédanés de tabac, fabriqués, et poudre, extraits et sauces de tabac (sauf cigares, y.c. ceux à bouts coupés, cigarillos, cigarettes, tabac à fumer, même contenant des succédanés de tabac en tout</t>
  </si>
  <si>
    <t>=t("   SEL, Y.C. LE SEL PRÉPARÉ POUR LA TABLE ET LE SEL DÉNATURÉ, ET CHLORURE DE SODIUM PUR, MÊME EN SOLUTION AQUEUSE OU ADDITIONNÉS D'AGENTS ANTIAGGLOMÉRANTS OU D'AGENTS ASSURANT UNE BONNE FLUIDITÉ; EAU DE MER [01/01/1988-31/12/1991: SEL, Y.C. LE SEL PRE</t>
  </si>
  <si>
    <t>=t("   Ecaussines et autres pierres calcaires de taille ou de construction, d'une densité apparente &gt;= 2,5, et albâtre, même dégrossis ou simplement débités, par sciage ou autrement, en blocs ou en plaques de forme carrée ou rectangulaire (à l'excl. des m</t>
  </si>
  <si>
    <t xml:space="preserve">=t("   Granulés, éclats et poudres, même traités thermiquement, de travertins, d'écaussines, d'albâtre, de granit, de grès, de porphyre, de syénite, de lave, de basalte, de gneiss, de trachyte et autres pierres du n° 2515 et 2516 (à l'excl. des granulés, </t>
  </si>
  <si>
    <t>=t("   Acides inorganiques (à l'excl. de l'oléum, des oxydes de bore, du pentaoxyde de diphosphore, du chlorure d'hydrogène [acide chlorhydrique], du fluorure d'hydrogène [acide fluorhydrique] ainsi que des acides sulfurique, chlorosulfurique, nitrique, s</t>
  </si>
  <si>
    <t>=t("   CARBONATES ET PEROXOCARBONATES [PERCARBONATES]; CARBONATES D'AMMONIUM - Y.C. LE CARBONATE D'AMMONIUM DU COMMERCE CONTENANT DU CARBAMATE D'AMMONIUM (À L'EXCL. DE L'HYDROGÉNOCARBONATE [BICARBONATE] DE SODIUM, DES CARBONATES DE DISODIUM, DE POTASSIUM,</t>
  </si>
  <si>
    <t xml:space="preserve">=t("   Monoalcools acycliques saturés (à l'excl. du méthanol [alcool méthylique], du propane-1-ol [alcool propylique], du propane-2-ol [alcool isopropylique], des butanols, du pentanol [alcool amylique] et ses isomères, de l'octanol [alcool octylique] et </t>
  </si>
  <si>
    <t>=t("   ACIDES MONOCARBOXYLIQUES ACYCLIQUES SATURÉS, ANHYDRIDES, HALOGÉNURES, PEROXYDES, PEROXYACIDES ET DÉRIVÉS HALOGÉNÉS, SULFONÉS, NITRÉS OU NITROSÉS (À L'EXCL. DES ACIDES FORMIQUE, ACÉTIQUE, MONO- OU TRICHLOROACÉTIQUES, PROPIONIQUE, BUTANOÏQUES, PENTAN</t>
  </si>
  <si>
    <t>=t("   ACIDES CARBOXYLIQUES À FONCTION ALCOOL MAIS SANS AUTRE FONCTION OXYGÉNÉE, LEURS ANHYDRIDES, HALOGÉNURES, PEROXYDES, PEROXYACIDES ET LEURS DÉRIVÉS HALOGÉNÉS, SULFONÉS, NITRÉS OU NITROSÉS (À L'EXCL. DES ACIDES LACTIQUE, TARTRIQUE, CITRIQUE OU GLUCONI</t>
  </si>
  <si>
    <t>=t("   Acides nucléiques et leurs sels, de constitution chimique définie ou non; composés hétérocycliques (à l'excl. des composés à hétératome[s] d'oxygène exclusivement ou des composés à hétératome[s] d'azote exclusivement, des composés dont la structure</t>
  </si>
  <si>
    <t>=t("   Médicaments constitués par des produits mélangés entre eux, préparés à des fins thérapeutiques ou prophylactiques, mais ni présentés sous forme de doses, ni conditionnés pour la vente au détail (sauf produits du n° 3002, 3005 ou 3006, médicaments c</t>
  </si>
  <si>
    <t>=t("   Médicaments contenant des pénicillines ou des dérivés de ces produits, à structure d'acide pénicillanique, ou des streptomycines ou des dérivés de ces produits, présentés sous forme de doses [y.c. ceux destinés à être administrés par voie percutané</t>
  </si>
  <si>
    <t>=t("   Médicaments contenant des antibiotiques, présentés sous forme de doses [y.c. ceux destinés à être administrés par voie percutanée] ou conditionnés pour la vente au détail (à l'excl. des produits contenant des pénicillines ou des dérivés de ces prod</t>
  </si>
  <si>
    <t>=t("   Médicaments contenant des hormones ou des stéroïdes utilisés comme hormones, mais ne contenant pas d'antibiotiques, présentés sous forme de doses [y.c. ceux destinés à être administrés par voie percutanée] ou conditionnés pour la vente au détail (à</t>
  </si>
  <si>
    <t>=t("   Médicaments contenant des provitamines, des vitamines, y.c. les concentrats naturels, ou des dérivés de ces produits utilisés principalement en tant que vitamines, présentés sous forme de doses [y.c. ceux destinés à être administrés par voie percut</t>
  </si>
  <si>
    <t>=t("   Médicaments constitués par des produits mélangés ou non, préparés à des fins thérapeutiques ou prophylactiques, présentés sous forme de doses [y.c. ceux destinés à être administrés par voie percutanée] ou conditionnés pour la vente au détail (à l'e</t>
  </si>
  <si>
    <t>=t("   OUATES, GAZES, BANDES ET ARTICLES ANALOGUES [PANSEMENTS, SPARADRAPS, SINAPISMES, P.EX.], IMPRÉGNÉS OU RECOUVERTS DE SUBSTANCES PHARMACEUTIQUES OU CONDITIONNÉS POUR LA VENTE AU DÉTAIL À DES FINS MÉDICALES, CHIRURGICALES, DENTAIRES OU VÉTÉRINAIRES (À</t>
  </si>
  <si>
    <t>=t("   CATGUTS STÉRILES, LIGATURES STÉRILES SIMIL. POUR SUTURES CHIRURGICALES, Y.C. FILS RÉSORBABLES STÉRILES POUR LA CHIRURGIE OU L'ART DENTAIRE, ET ADHÉSIFS STÉRILES POUR TISSUS ORGANIQUES UTILISÉS EN CHIRURGIE POUR REFERMER LES PLAIES; LAMINAIRES STÉRI</t>
  </si>
  <si>
    <t xml:space="preserve">=t("   Préparations présentées sous forme de gel conçues pour être utilisées en médecine humaine ou vétérinaire comme lubrifiant pour certaines parties du corps lors des opérations chirurgicales ou des examens médicaux ou comme agent de couplage entre le </t>
  </si>
  <si>
    <t>=t("   Engrais minéraux ou chimiques contenant les deux éléments fertilisants : azote et potassium ou ne contenant qu'un seul élément fertilisant principal, y.c. les mélanges d'engrais d'origine animale ou végétale avec des engrais chimiques ou minéraux (</t>
  </si>
  <si>
    <t>=t("   Matières colorantes d'origine végétale ou animale, y.c. les extraits tinctoriaux (sauf les noirs d'origine animale), même de constitution chimique définie; préparations à base de matières colorantes d'origine végétale ou animale ou bien destinées à</t>
  </si>
  <si>
    <t>=t("   Colorants organiques synthétiques dispersés; préparations à base de colorants organiques synthétiques dispersés, des types utilisés pour colorer toute matière ou bien destinées à entrer comme ingrédients dans la fabrication de préparations colorant</t>
  </si>
  <si>
    <t>=t("   Colorants organiques synthétiques basiques; préparations à base de colorants organiques synthétiques basiques, des types utilisés pour colorer toute matière ou bien destinées à entrer comme ingrédients dans la fabrication de préparations colorantes</t>
  </si>
  <si>
    <t>=t("   Colorants organiques synthétiques pigmentaires; préparations à base de colorants organiques synthétiques pigmentaires, des types utilisés pour colorer toute matière ou bien destinées à entrer comme ingrédients dans la fabrication de préparations co</t>
  </si>
  <si>
    <t>=t("   Matières colorantes organiques synthétiques (sauf colorants dispersés, acides, à mordants, basiques, directs, de cuve, réactifs et pigmentaires); préparations à base de matières colorantes organiques synthétiques ou bien destinées à entrer comme in</t>
  </si>
  <si>
    <t>=t("   Laques colorantes (à l'excl. des laques de Chine ou du Japon et des peintures laquées); préparations à base de laques colorantes, des types utilisés pour colorer toute matière ou bien destinées à entrer comme ingrédients dans la fabrication de prép</t>
  </si>
  <si>
    <t>=t("   Pigments et préparations à base de dioxyde de titane, contenant en poids &gt;= 80% de dioxyde de titane calculé sur matière sèche, des types utilisés pour colorer toute matière ou bien destinés à entrer comme ingrédients dans la fabrication de prépara</t>
  </si>
  <si>
    <t>=t("   Pigments et préparations à base de composés du chrome, des types utilisés pour colorer toute matière ou bien destinés à entrer comme ingrédients dans la fabrication de préparations colorantes (à l'excl. des préparations du n° 3207, 3208, 3209, 3210</t>
  </si>
  <si>
    <t>=t("   PEINTURES ET VERNIS À BASE DE POLYMÈRES ACRYLIQUES OU VINYLIQUES, DISPERSÉS OU DISSOUS DANS UN MILIEU NON-AQUEUX, ET PRODUITS À BASE DE POLYMÈRES ACRYLIQUES OU VINYLIQUES EN SOLUTION DANS DES SOLVANTS ORGANIQUES VOLATILS, POUR AUTANT QUE LA PROPORT</t>
  </si>
  <si>
    <t xml:space="preserve">=t("   PEINTURES ET VERNIS À BASE DE POLYMÈRES SYNTHÉTIQUES OU DE POLYMÈRES NATURELS MODIFIÉS, DISPERSÉS OU DISSOUS DANS UN MILIEU NON-AQUEUX; PRODUITS VISÉS DANS LE LIBELLÉ DU N° 3901 À 3913 EN SOLUTION DANS DES SOLVANTS ORGANIQUES VOLATILS, POUR AUTANT </t>
  </si>
  <si>
    <t>=t("   PIGMENTS, Y.C. LES POUDRES ET FLOCONS MÉTALLIQUES, DISPERSÉS DANS DES MILIEUX NON-AQUEUX, SOUS FORME DE LIQUIDE OU DE PÂTE, DES TYPES UTILISÉS POUR LA FABRICATION DE PEINTURES; TEINTURES ET AUTRES MATIÈRES COLORANTES, N.D.A., PRÉSENTÉES DANS DES FO</t>
  </si>
  <si>
    <t xml:space="preserve">=t("   Oléorésines d'extraction; solutions concentrées d'huiles essentielles dans les graisses, les huiles fixes, les cires ou matières analogues, obtenues par enfleurage ou macération; sous-produits terpéniques résiduaires de la déterpénation des huiles </t>
  </si>
  <si>
    <t>=t("   Mélanges de substances odoriférantes et mélanges, y.c. les solutions alcooliques, à base d'une ou de plusieurs de ces substances, des types utilisés comme matières de base pour l'industrie (à l'excl. des mélanges des types utilisés pour les industr</t>
  </si>
  <si>
    <t>=t("   Produits de beauté ou de maquillage préparés et préparations pour l'entretien ou les soins de la peau, y.c. les préparations antisolaires et les préparations pour bronzer (à l'excl. des médicaments, des produits de maquillage pour les lèvres ou les</t>
  </si>
  <si>
    <t>=t("   Savons, produits et préparations organiques tensio-actifs à usage de savon, en barres, en pains, en morceaux ou en sujets frappés, et papier, ouates, feutres et nontissés, imprégnés, enduits ou recouverts de savon ou de détergents, pour la toilette</t>
  </si>
  <si>
    <t>=t("   Savons, produits et préparations organiques tensio-actifs à usage de savon, en barres, en pains, en morceaux ou en sujets frappés, et papier, ouates, feutres et nontissés, imprégnés, enduits ou recouverts de savon ou de détergents (à l'excl. des pr</t>
  </si>
  <si>
    <t>=t("   Préparations tensio-actives, préparations pour lessives, préparations auxiliaires de lavage et préparations de nettoyage, conditionnées pour la vente au détail (à l'excl. des agents de surface organiques, des savons et des préparations organiques t</t>
  </si>
  <si>
    <t>=t("   Préparations tensio-actives, préparations pour lessives, préparations auxiliaires de lavage et préparations de nettoyage (à l'excl. des préparations conditionnées pour la vente au détail, des agents de surface organiques, des savons et des préparat</t>
  </si>
  <si>
    <t>=t("   Préparations lubrifiantes, y.c. huiles de coupe, préparations pour le dégrippage des écrous, préparations antirouille ou anticorrosion, préparations pour le démoulage, à base de lubrifiants, contenant des huiles de pétrole ou de minéraux bitumineux</t>
  </si>
  <si>
    <t>=t("   Préparations lubrifiantes, y.c. les huiles de coupe, les préparations pour le dégrippage des écrous, les préparations antirouille ou anticorrosion et les préparations pour le démoulage, à base de lubrifiants, ne contenant pas d'huiles de pétrole ou</t>
  </si>
  <si>
    <t>=t("   CIRES ARTIFICIELLES ET CIRES PRÉPARÉES (À L'EXCL. DES CIRES DE LIGNITE MODIFIÉ CHIMIQUEMENT ET DES CIRES DE POLY"OXYÉTHYLÈNE" [POLYÉTHYLÈNEGLYCOLS])")</t>
  </si>
  <si>
    <t>=t("   Cirages, crèmes et préparations simil. pour l'entretien des chaussures ou du cuir, même sous forme de papier, ouates, feutres, nontissés, matière plastique ou caoutchouc alvéolaires, imprégnés, enduits ou recouverts de ces préparations (à l'excl. d</t>
  </si>
  <si>
    <t>=t("   Encaustiques et préparations simil. pour l'entretien des meubles en bois, des parquets ou d'autres boiseries, même sous forme de papier, ouates, feutres, nontissés, matière plastique ou caoutchouc alvéolaires, imprégnés, enduits ou recouverts de ce</t>
  </si>
  <si>
    <t>=t("   Brillants et préparations simil. pour carrosseries, même sous forme de papier, ouates, feutres, nontissés, matière plastique ou caoutchouc alvéolaires, imprégnés, enduits ou recouverts de ces préparations (à l'excl. des brillants pour métaux et des</t>
  </si>
  <si>
    <t>=t("   Pâtes à modeler, y.c. celles présentées pour l'amusement des enfants; compositions dites 'cires pour l'art dentaire' présentées en assortiments, dans des emballages de vente au détail ou en plaquettes, fers à cheval, bâtonnets ou sous des formes si</t>
  </si>
  <si>
    <t>=t("   Gélatines, y.c. celles présentées en feuilles de forme carrée ou rectangulaire, même ouvrées en surface ou colorées, et leurs dérivés; ichtyocolle; autres colles d'origine animale (à l'excl. des colles de caséine du n° 3501 ainsi que des produits c</t>
  </si>
  <si>
    <t>=t("   Ferrocérium et autres alliages pyrophoriques sous toutes formes; métaldéhyde, hexaméthylènetétramine et produits simil., présentés en tablettes, bâtonnets ou sous des formes simil. impliquant leur utilisation comme combustibles; combustibles à base</t>
  </si>
  <si>
    <t>=t("   Plaques et films plans, photographiques, sensibilisés, non impressionnés, pour la photographie en monochrome, en autres matières que le papier, le carton ou les textiles (à l'excl. des plaques et films pour rayons X, des films à développement et ti</t>
  </si>
  <si>
    <t>=t("   PELLICULES PHOTOGRAPHIQUES SENSIBILISÉES, NON-IMPRESSIONNÉES, PERFORÉES, EN ROULEAUX, D'UNE LARGEUR &gt; 16 MM MAIS &lt;= 35 MM ET D'UNE LONGUEUR &lt;= 30 M, POUR LA PHOTOGRAPHIE EN COULEURS [POLYCHROME] (SAUF EN PAPIER, EN CARTON OU EN MATIÈRES TEXTILES ET</t>
  </si>
  <si>
    <t xml:space="preserve">=t("   PELLICULES PHOTOGRAPHIQUES SENSIBILISÉES, NON-IMPRESSIONNÉES, PERFORÉES, EN ROULEAUX, D'UNE LARGEUR &gt; 16 MM MAIS &lt;= 35 MM ET D'UNE LONGUEUR &lt;= 30 M, POUR LA PHOTOGRAPHIE EN MONOCHROME (SAUF EN PAPIER, EN CARTON OU EN MATIÈRES TEXTILES ET À L'EXCL. </t>
  </si>
  <si>
    <t>=t("   Pellicules photographiques sensibilisées, non impressionnées, perforées, en rouleaux, d'une largeur &gt; 35 mm, pour la photographie en monochrome (à l'excl. des pellicules pour rayons X, des microfilms, des films pour les arts graphiques ainsi que de</t>
  </si>
  <si>
    <t>=t("   PRÉPARATIONS CHIMIQUES POUR USAGES PHOTOGRAPHIQUES, Y.C. LES PRODUITS NON-MÉLANGÉS, SOIT DOSÉS EN VUE D'USAGES PHOTOGRAPHIQUES, SOIT CONDITIONNÉS POUR LA VENTE AU DÉTAIL POUR CES MÊMES USAGES ET PRÊTS À L'EMPLOI (À L'EXCL. DES VERNIS, COLLES, ADHÉS</t>
  </si>
  <si>
    <t>=t("   Dipentène brut; essence de papeterie au bisulfite et autres paracymènes bruts; essences terpéniques provenant de la distillation ou d'autres traitements des bois de conifères (à l'excl. des essences de térébenthine, de bois de pin ou de papeterie a</t>
  </si>
  <si>
    <t>=t("   AGENTS D'APPRÊT OU DE FINISSAGE, ACCÉLÉRATEURS DE TEINTURE OU DE FIXATION DE MATIÈRES COLORANTES ET AUTRES PRODUITS ET PRÉPARATIONS [PAREMENTS PRÉPARÉS ET PRÉPARATIONS POUR LE MORDANÇAGE, P.EX.], À BASE DE MATIÈRES AMYLACÉES, DES TYPES UTILISÉS DAN</t>
  </si>
  <si>
    <t>=t("   Agents d'apprêt ou de finissage, accélérateurs de teinture ou de fixation de matières colorantes et autres produits et préparations [parements préparés et préparations pour le mordançage, par exemple], des types utilisés dans l'industrie du cuir ou</t>
  </si>
  <si>
    <t>=t("   Flux à souder ou à braser et autres préparations auxiliaires pour le soudage ou le brasage des métaux; préparations des types utilisés pour l'enrobage ou le fourrage des électrodes ou des baguettes de soudage (à l'excl. des pâtes et poudres composé</t>
  </si>
  <si>
    <t>=t("   Inhibiteurs d'oxydation, additifs peptisants, améliorants de viscosité, additifs anticorrosifs et autres additifs préparés, pour huiles minérales - y.c. l'essence - ou pour autres liquides utilisés aux mêmes fins que les huiles minérales (à l'excl.</t>
  </si>
  <si>
    <t xml:space="preserve">=t("   Compositions et charges pour appareils extincteurs; grenades et bombes extinctrices (à l'excl. des appareils extincteurs, même portatifs, chargés ou non, ainsi que des produits chimiques, ayant des propriétés extinctrices, présentés isolément sans </t>
  </si>
  <si>
    <t xml:space="preserve">=t("   Réactifs de diagnostic ou de laboratoire sur tout support et réactifs de diagnostic ou de laboratoire préparés, même présentés sur un support ainsi que des matériaux de référence certifiés (à l'excl. des réactifs composés de diagnostic conçus pour </t>
  </si>
  <si>
    <t>=t("   POLYMÈRES DES ESTERS DE VINYLE ET AUTRES POLYMÈRES DE VINYLE, SOUS FORMES PRIMAIRES (À L'EXCL. DES POLYMÈRES DU CHLORURE DE VINYLE OU D'AUTRES OLÉFINES HALOGÉNÉES, DU POLY[ACÉTATE DE VINYLE], DES COPOLYMÈRES AINSI QUE DU POLY[ALCOOL VINYLIQUE], MÊM</t>
  </si>
  <si>
    <t xml:space="preserve">=t("   Monofilaments dont la plus grande dimension de la coupe transversale &gt; 1 mm [monofils], joncs, bâtons et profilés, même ouvrés en surface mais non autrement travaillés, en matières plastiques (à l'excl. des monofilaments en polymères de l'éthylène </t>
  </si>
  <si>
    <t>=t("   Revêtements de sols, même auto-adhésifs, en rouleaux ou sous formes de carreaux ou de dalles, en polymères du chlorure de vinyle; revêtements de murs ou de plafonds en rouleaux d'une largeur &gt;= 45 cm, constitués d'une couche de matière plastique fi</t>
  </si>
  <si>
    <t>=t("   Revêtements de sols, même auto-adhésifs, en rouleaux ou sous formes de carreaux ou de dalles, et revêtements de murs ou de plafonds en rouleaux d'une largeur &gt;= 45 cm constitués d'une couche de matière plastique fixée en manière permanente sur un s</t>
  </si>
  <si>
    <t>=t("   Plaques, feuilles, bandes, rubans, pellicules et autres formes plates, auto-adhésifs, en matières plastiques, même en rouleaux (à l'excl. des produits en rouleaux d'une largeur &lt;= 20 cm ainsi que des revêtements de sols, de murs ou de plafonds du n</t>
  </si>
  <si>
    <t>=t("   PLAQUES, FEUILLES, PELLICULES, BANDES ET LAMES, EN POLYMÈRES DE L'ÉTHYLÈNE NON-ALVÉOLAIRES, NON-RENFORCÉES NI STRATIFIÉES, NI MUNIES D'UN SUPPORT, NI PAREILLEMENT ASSOCIÉES À D'AUTRES MATIÈRES, NON-TRAVAILLÉES OU SIMPL. OUVRÉES EN SURFACE OU SIMPL.</t>
  </si>
  <si>
    <t xml:space="preserve">=t("   PLAQUES, FEUILLES, PELLICULES, BANDES ET LAMES, EN POLYMÈRES DU PROPYLÈNE NON-ALVÉOLAIRES, NON-RENFORCÉES NI STRATIFIÉES, NI MUNIES D'UN SUPPORT, NI PAREILLEMENT ASSOCIÉES À D'AUTRES MATIÈRES, NON-TRAVAILLÉES OU SIMPL. OUVRÉES EN SURFACE OU SIMPL. </t>
  </si>
  <si>
    <t>=t("   PLAQUES, FEUILLES, PELLICULES, BANDES ET LAMES, EN POLYMÈRES DU CHLORURE DE VINYLE NON-ALVÉOLAIRES, CONTENANT EN POIDS &gt;= 6% DE PLASTIFIANTS, NON-RENFORCÉES NI STRATIFIÉES, NI MUNIES D'UN SUPPORT, NI PAREILLEMENT ASSOCIÉES À D'AUTRES MATIÈRES, NON-</t>
  </si>
  <si>
    <t>=t("   PLAQUES, FEUILLES, PELLICULES, BANDES ET LAMES, EN POLYMÈRES DU CHLORURE DE VINYLE NON-ALVÉOLAIRES, CONTENANT EN POIDS &lt; 6% DE PLASTIFIANTS, NON-RENFORCÉES NI STRATIFIÉES, NI MUNIES D'UN SUPPORT, NI PAREILLEMENT ASSOCIÉES À D'AUTRES MATIÈRES, NON-T</t>
  </si>
  <si>
    <t>=t("   PLAQUES, FEUILLES, PELLICULES, BANDES ET LAMES, EN POLY[ÉTHYLÈNE TÉRÉPHTALATE] NON-ALVÉOLAIRE, NON-RENFORCÉES NI STRATIFIÉES, NI MUNIES D'UN SUPPORT, NI PAREILLEMENT ASSOCIÉES À D'AUTRES MATIÈRES, NON-TRAVAILLÉES OU SIMPL. OUVRÉES EN SURFACE OU SIM</t>
  </si>
  <si>
    <t>=t("   Plaques, feuilles, pellicules, bandes et lames, en polyesters non saturés non alvéolaires, non renforcées ni stratifiées, ni munies d'un support, ni pareillement associées à d'autres matières, non travaillées ou simplement ouvrées en surface ou sim</t>
  </si>
  <si>
    <t>=t("   Plaques, feuilles, pellicules, bandes et lames, en polyesters non alvéolaires, non renforcées ni stratifiées, ni munies d'un support, ni pareillement associées à d'autres matières, non travaillées ou simplement ouvrées en surface ou simplement déco</t>
  </si>
  <si>
    <t>=t("   PLAQUES, FEUILLES, PELLICULES, BANDES ET LAMES, EN DÉRIVÉS NON-ALVÉOLAIRES DE LA CELLULOSE, NON-RENFORCÉES NI STRATIFIÉES, NI MUNIES D'UN SUPPORT, NI PAREILLEMENT ASSOCIÉES À D'AUTRES MATIÈRES, NON-TRAVAILLÉES OU SIMPL. OUVRÉES EN SURFACE OU SIMPL.</t>
  </si>
  <si>
    <t>=t("   Plaques, feuilles, pellicules, bandes et lames, en polyamides non alvéolaires, non renforcées ni stratifiées, ni munies d'un support, ni pareillement associées à d'autres matières, non travaillées ou simplement ouvrées en surface ou simplement déco</t>
  </si>
  <si>
    <t>=t("   PLAQUES, FEUILLES, PELLICULES, BANDES ET LAMES, EN MATIÈRES PLASTIQUES NON-ALVÉOLAIRES, N.D.A., NON-RENFORCÉES NI STRATIFIÉES, NI MUNIES D'UN SUPPORT, NI PAREILLEMENT ASSOCIÉES À D'AUTRES MATIÈRES, NON-TRAVAILLÉES OU SIMPL. OUVRÉES EN SURFACE OU SI</t>
  </si>
  <si>
    <t>=t("   Plaques, feuilles, pellicules, bandes et lames, en polymères alvéolaires du chlorure de vinyle, non travaillées ou simplement ouvrées en surface ou simplement découpées de forme carrée ou rectangulaire (à l'excl. des produits auto-adhésifs et des r</t>
  </si>
  <si>
    <t>=t("   PLAQUES, FEUILLES, PELLICULES, BANDES ET LAMES, EN POLYURÉTHANNES ALVÉOLAIRES, NON-TRAVAILLÉES OU SIMPL. OUVRÉES EN SURFACE OU SIMPL. DÉCOUPÉES DE FORME CARRÉE OU RECTANGULAIRE (À L'EXCL. DES PRODUITS AUTO-ADHÉSIFS ET DES REVÊTEMENTS DE SOLS, DE MU</t>
  </si>
  <si>
    <t>=t("   Plaques, feuilles, pellicules, bandes et lames, en produits alvéolaires, non travaillées ou simplement ouvrées en surface ou simplement découpées de forme carrée ou rectangulaire (à l'excl. des produits en polymères du styrène ou du chlorure de vin</t>
  </si>
  <si>
    <t xml:space="preserve">=t("   PLAQUES, FEUILLES, PELLICULES, BANDES ET LAMES, EN MATIÈRES PLASTIQUES, RENFORCÉES, STRATIFIÉES, MUNIES D'UN SUPPORT OU PAREILLEMENT ASSOCIÉES À D'AUTRES MATIÈRES, NON-TRAVAILLÉES OU SIMPL. OUVRÉES EN SURFACE OU SIMPL. DÉCOUPÉES DE FORME CARRÉE OU </t>
  </si>
  <si>
    <t>=t("   Articles de transport ou d'emballage, en matières plastiques (à l'excl. des boîtes, caisses, casiers et articles simil., des sacs, sachets, pochettes et cornets, des bonbonnes, bouteilles, flacons et articles simil., des bobines, fusettes, canettes</t>
  </si>
  <si>
    <t>=t("   Articles de ménage ou d'économie domestique et articles d'hygiène ou de toilette, en matières plastiques (à l'excl. de la vaisselle et des articles pour usages sanitaires ou hygiéniques tels que baignoires, douches, lavabos, bidets, réservoirs de c</t>
  </si>
  <si>
    <t>=t("   ÉLÉMENTS STRUCTURAUX UTILISÉS NOTAMMENT POUR LA CONSTRUCTION DES SOLS, DES MURS, DES CLOISONS, DES PLAFONDS OU DES TOITS, EN MATIÈRES PLASTIQUES: GOUTTIÈRES ET ACCESSOIRES; RAMBARDES, BALUSTRADES, RAMPES ET BARRIÈRES SIMIL.; RAYONNAGES DE GRANDES D</t>
  </si>
  <si>
    <t>=t("   Latex de caoutchouc synthétique (sauf latex de caoutchouc styrène-butadiène, de caoutchouc styrène-butadiène carboxylé, de caoutchouc butadiène, de caoutchouc isobutène-isoprène [butyle], de caoutchouc isobutène-isoprène halogéné, de caoutchouc chl</t>
  </si>
  <si>
    <t>=t("   Caoutchouc mélangé, non vulcanisé, en solutions ou en dispersions (à l'excl. du caoutchouc additionné de noir de carbone ou de silice ainsi que des mélanges de caoutchouc naturel, de balata, de gutta-percha, de guayule, de chicle ou de gommes natur</t>
  </si>
  <si>
    <t xml:space="preserve">=t("   Caoutchouc mélangé, non vulcanisé, sous formes primaires (à l'excl. des solutions, des dispersions, des produits en plaques, feuilles ou bandes, du caoutchouc additionné de noir de carbone ou de silice ainsi que des mélanges de caoutchouc naturel, </t>
  </si>
  <si>
    <t>=t("   Baguettes, tubes, profilés et formes simil., disques, rondelles et articles simil., en caoutchouc non vulcanisé, même mélangé (à l'excl. des profilés pour le rechapage ainsi que des plaques, feuilles ou bandes qui n'ont pas subi d'autres ouvraisons</t>
  </si>
  <si>
    <t>=t("   Fils et cordes de caoutchouc vulcanisé (à l'excl. des fils nus simples dont la plus grande dimension de la coupe transversale excède 5 mm ainsi que des matières textiles associées à des fils de caoutchouc [p.ex. fils et cordes de caoutchouc recouve</t>
  </si>
  <si>
    <t>=t("   TUBES ET TUYAUX EN CAOUTCHOUC VULCANISÉ NON DURCI, RENFORCÉS À L'AIDE D'AUTRES MATIÈRES QUE LE MÉTAL OU LES MATIÈRES TEXTILES OU AUTREMENT ASSOCIÉS À D'AUTRES MATIÈRES QUE LE MÉTAL OU LES MATIÈRES TEXTILES, AVEC ACCESSOIRES [JOINTS, COUDES, RACCORD</t>
  </si>
  <si>
    <t>=t("   COURROIES DE TRANSMISSION, EN CAOUTCHOUC VULCANISÉ (À L'EXCL. DE COURROIES DE TRANSMISSION SANS FIN DE SECTION TRAPÉZOÏDALE, STRIÉES, D'UNE CIRCONFÉRENCE EXTÉRIEURE &gt; 60 CM MAIS &lt;= 240 CM ET DES COURROIES DE TRANSMISSION SANS FIN, CRANTÉES 'SYNCHRO</t>
  </si>
  <si>
    <t>=t("   Pneumatiques neufs, en caoutchouc (à l'excl. des pneumatiques à crampons, à chevrons ou simil. ainsi que des pneumatiques des types utilisés pour les véhicules et engins agricoles et forestiers, de génie civil et de manutention industrielle, pour l</t>
  </si>
  <si>
    <t xml:space="preserve">=t("   Revêtements de sol et tapis de pied, en caoutchouc vulcanisé non durci, à bords biseautés ou moulurés, à coins arrondis, à bordures ajourées ou autrement travaillés (à l'excl. des ouvrages en caoutchouc alvéolaire ainsi que des ouvrages simplement </t>
  </si>
  <si>
    <t xml:space="preserve">=t("   CUIRS ET PEAUX ENTIERS [Y.C. CUIRS ET PEAUX PARCHEMINÉS], DE BOVINS [Y. C. LES BUFFLES] OU D'ÉQUIDÉS, PRÉPARÉS APRÈS TANNAGE OU APRÈS DESSÈCHEMENT, ÉPILÉS (À L'EXCL. DES CUIRS ET PEAUX PLEINE FLEUR NON-REFENDUE, DES CUIRS ET PEAUX CÔTÉS FLEUR, DES </t>
  </si>
  <si>
    <t>=t("   CUIRS ET PEAUX [Y.C. CUIRS ET PEAUX PARCHEMINÉS] DE PARTIES ET AUTRES PIÈCES DE CUIRS ET PEAUX DE BOVINS [Y. C. LES BUFFLES] OU D'ÉQUIDÉS, PRÉPARÉS APRÈS TANNAGE OU APRÈS DESSÈCHEMENT, ÉPILÉS (À L'EXCL. DES CUIRS ET PEAUX PLEINE FLEUR NON-REFENDUE,</t>
  </si>
  <si>
    <t>=t("   Articles de sellerie ou de bourrellerie pour tous animaux, y.c. les traits, laisses, genouillères, muselières, tapis de selles, fontes, manteaux pour chiens et articles simil., en toutes matières (à l'excl. des harnais pour enfants ou adultes ainsi</t>
  </si>
  <si>
    <t>=t("   Malles, valises et mallettes, y.c. les mallettes de toilette et mallettes porte-documents, serviettes, cartables et contenants simil. (à l'excl. des articles à surface extérieure en cuir naturel, reconstitué ou verni, en matières plastiques ou en m</t>
  </si>
  <si>
    <t xml:space="preserve">=t("   Portefeuilles, porte-monnaie, étuis à clés ou à cigarettes, blagues à tabac et articles simil. de poche ou de sac à main, à surface extérieure en fibre vulcanisée ou en carton, ou recouverts, en totalité ou en majeure partie, de ces mêmes matières </t>
  </si>
  <si>
    <t>=t("   Sacs de voyage, sacs isolants pour produits alimentaires et boissons, trousses de toilette, sacs à dos, sacs à provisions, porte-cartes, trousses à outils, sacs pour articles de sport, boîtes pour bijoux, écrins pour orfèvrerie et étuis pour jumell</t>
  </si>
  <si>
    <t>=t("   Sacs de voyage, trousses de toilette, sacs à dos, sacs à provisions, porte-cartes, trousses à outils, sacs pour articles de sport, boîtes pour bijoux, écrins pour orfèvrerie et étuis pour jumelles, appareils photographiques, caméras, instruments de</t>
  </si>
  <si>
    <t>=t("   Accessoires du vêtement, en cuir naturel ou reconstitué (à l'excl. des gants, des mitaines, des moufles, des ceintures, des ceinturons, des baudriers, des chaussures, des coiffures, des parties de chaussures ou de coiffures ainsi que des articles d</t>
  </si>
  <si>
    <t>=t("   Ouvrages en cuir naturel ou reconstitué (sauf meubles; appareils d'éclairage; articles de bijouterie fantaisie; boutons et leurs parties; boutons de manchette; jouets, jeux et engins sportifs; fouets, cravaches et articles simil.; articles de selle</t>
  </si>
  <si>
    <t>=t("   Bois bruts des bois tropicaux visés à la note 1 de sous-position du présent chapitre, même écorcés, désaubiérés ou équarris (à l'excl. des bois de dark red meranti, light red meranti, meranti bakau, des bois traités avec une peinture, de la créosot</t>
  </si>
  <si>
    <t>=t("   Bois feuillards; échalas fendus; pieux et piquets en bois, appointés, non sciés longitudinalement; bois simplement dégrossis ou arrondis, non tournés ni courbés ni autrement travaillés, pour cannes, parapluies, manches d'outils ou simil.; bois en l</t>
  </si>
  <si>
    <t>=t("   Bois tropicaux visés à la note 1 de sous-position du présent chapitre, sciés ou dédossés longitudinalement, tranchés ou déroulés, même rabotés, poncés ou collés par assemblage en bout, d'une épaisseur &gt; 6 mm (sauf virola, mahogany 'Swietenia spp.',</t>
  </si>
  <si>
    <t>=t("   Bois sciés ou dédossés longitudinalement, tranchés ou déroulés, d'une épaisseur &gt; 6 mm, même rabotés, poncés ou collés par assemblage en bout (à l'excl. des bois tropicaux visés à la note 1 de sous-position du présent chapitre ainsi que des bois de</t>
  </si>
  <si>
    <t>=t("   FEUILLES POUR PLACAGE - Y.C. CELLES OBTENUES PAR TRANCHAGE DE BOIS STRATIFIÉ -,  FEUILLES POUR CONTRE-PLAQUÉS OU POUR AUTRES BOIS STRATIFIÉS SIMIL. ET AUTRES BOIS SCIÉS LONGITUDINALEMENT, TRANCHÉS OU DÉROULÉS, MÊME RABOTÉS, PONCÉS, ASSEMBLÉS BORD À</t>
  </si>
  <si>
    <t xml:space="preserve">=t("   BOIS, Y.C. LES LAMES ET FRISES POUR PARQUETS, NON-ASSEMBLÉES, PROFILÉS "LANGUETÉS, RAINÉS, BOUVETÉS, FEUILLURÉS, CHANFREINÉS, JOINTS EN V, MOULURÉS, ARRONDIS OU SIMIL." TOUT AU LONG D'UNE OU DE PLUSIEURS RIVES, FACES OU BOUTS, MÊME RABOTÉS, PONCÉS </t>
  </si>
  <si>
    <t>=t("   Panneaux de particules et panneaux simil., en bois, même agglomérés avec des résines ou d'autres liants organiques, recouverts en surface de plaques ou de feuilles décoratives stratifiées en matières plastiques (à l'excl. des panneaux dits 'oriente</t>
  </si>
  <si>
    <t>=t("   Panneaux de particules et panneaux simil., en bois, même agglomérés avec des résines ou d'autres liants organiques (sauf bruts ou simplement poncés, recouverts en surface de papier imprégné de mélamine ou de plaques ou de feuilles décoratives strat</t>
  </si>
  <si>
    <t>=t("   PANNEAUX DE FIBRES DE BOIS OU AUTRES MATIÈRES LIGNEUSES, MÊME AGGLOMÉRÉES AVEC DES LIANTS ORGANIQUES, D'UNE MASSE VOLUMIQUE &gt; 0,8 G/CM³, NON-OUVRÉS MÉCANIQUEMENT NI RECOUVERTS EN SURFACE (SAUF CARTON, PANNEAUX DE PARTICULES, MÊME STRATIFIÉS, BOIS S</t>
  </si>
  <si>
    <t>=t("   Panneaux de fibres de bois ou autres matières ligneuses, même agglomérées avec des liants organiques, d'une masse volumique &gt; 0,8 g/cm³, ouvrés mécaniquement ou recouverts en surface (sauf carton, panneaux simpl. poncés ou de particules, même strat</t>
  </si>
  <si>
    <t>=t("   Panneaux de fibres de bois ou autres matières ligneuses, même agglomérées avec des liants organiques, d'une masse volumique &gt; 0,5 g/cm³ mais &lt;= 0,8 g/cm³, ouvrés mécaniquement ou recouverts en surface (sauf carton, panneaux simpl. poncés ou de part</t>
  </si>
  <si>
    <t>=t("   Panneaux de fibres de bois ou autres matières ligneuses, même agglomérées avec des liants organiques, d'une masse volumique &lt;= 0,35 g/cm³, non ouvrés mécaniquement ni recouverts en surface (sauf carton, panneaux de particules, même stratifiés, bois</t>
  </si>
  <si>
    <t>=t("   Panneaux de fibres de bois ou autres matières ligneuses, même agglomérées avec des liants organiques, d'une masse volumique &lt;= 0,35 g/cm³, ouvrés mécaniquement ou recouverts en surface (sauf carton, panneaux simplement poncés ou de particules, même</t>
  </si>
  <si>
    <t>=t("   Bois contre-plaqués constitués exclusivement de feuilles de bois dont chacune a une épaisseur &lt;= 6 mm, ayant au moins un pli extérieur en bois tropicaux visés à la note 1 de sous-position du présent chapitre (à l'excl. des panneaux en bois dits 'de</t>
  </si>
  <si>
    <t>=t("   Bois contre-plaqués constitués exclusivement de feuilles de bois dont chacune a une épaisseur &lt;= 6 mm, ayant au moins un pli extérieur en bois autres que de conifères et autres que de bois tropicaux visés à la note 1 de sous-position du présent cha</t>
  </si>
  <si>
    <t>=t("   Bois contre-plaqués constitués exclusivement de feuilles de bois dont chacune a une épaisseur &lt;= 6 mm (à l'excl. des bois contre-plaqués du n° 4412.13 et 4412.14, des panneaux en bois dits 'densifiés', des panneaux cellulaires en bois, des bois mar</t>
  </si>
  <si>
    <t>=t("   Bois plaqués et bois stratifiés simil., ayant au moins un pli extérieur en bois autres que de conifères et autres que de bois tropicaux visés à la note 1 de sous-position du présent chapitre, ne contenant pas de panneaux de particules (à l'excl. de</t>
  </si>
  <si>
    <t xml:space="preserve">=t("   BOIS PLAQUÉS ET BOIS STRATIFIÉS SIMIL., SANS ÂME PANNEAUTÉE, LATTÉE OU LAMELLÉE (À L'EXCL. DE BAMBOO, DES BOIS CONTRE-PLAQUÉS CONSTITUÉS EXCLUSIVEMENT DE FEUILLES DE BOIS DONT CHACUNE A UNE ÉPAISSEUR &lt;= 6 MM, DES PANNEAUX EN BOIS DITS 'DENSIFIÉS', </t>
  </si>
  <si>
    <t>=t("   Outils, montures et manches d'outils, montures de brosses, manches de balais ou de brosses, en bois; formes, embauchoirs et tendeurs pour chaussures, en bois (à l'excl. des moules du n° 8480, des formes de chapellerie ainsi que des machines et part</t>
  </si>
  <si>
    <t>=t("   OUVRAGES DE MENUISERIE ET PIÈCES DE CHARPENTE POUR CONSTRUCTION, Y.C. LES PANNEAUX CELLULAIRES (À L'EXCL. DES FENÊTRES, PORTES-FENÊTRES ET LEURS CADRES ET CHAMBRANLES, DES PORTES ET LEURS CADRES, CHAMBRANLES ET SEUILS, DES POTEAUX ET POUTRES, DES P</t>
  </si>
  <si>
    <t>=t("   Articles en bois pour la table ou la cuisine (à l'excl. des articles d'ameublement, des objets d'ornement, des ouvrages de tonnellerie, des parties d'articles en bois pour la table ou la cuisine, des balais, des brosses ainsi que des tamis et cribl</t>
  </si>
  <si>
    <t>=t("   Bois marquetés et bois incrustés; coffrets, écrins et étuis pour bijouterie ou orfèvrerie et ouvrages simil., en bois; articles d'ameublement en bois (à l'excl. des statuettes et autres objets d'ornement, des meubles, des appareils d'éclairage ains</t>
  </si>
  <si>
    <t xml:space="preserve">=t("   Ouvrages de vannerie obtenus directement en forme à partir de matières à tresser non végétales ou confectionnés à l'aide de matières à tresser non végétales du n° 4601 (à l'excl. des revêtements muraux du n° 4814, des ficelles, cordes et cordages, </t>
  </si>
  <si>
    <t>=t("   PAPIERS OU CARTONS À RECYCLER [DÉCHETS ET REBUTS], Y.C. LES DÉCHETS ET REBUTS NON-TRIÉS (À L'EXCL. DE LA LAINE DE PAPIER, DES DÉCHETS ET REBUTS DE PAPIERS OU CARTONS KRAFT ÉCRUS OU DE PAPIERS OU CARTONS ONDULÉS AINSI QUE DES PRODUITS NON-COLORÉS DA</t>
  </si>
  <si>
    <t>=t("   PAPIERS ET CARTONS, NON-COUCHÉS NI ENDUITS, UTILISÉS POUR L'ÉCRITURE, L'IMPRESSION OU D'AUTRES FINS GRAPHIQUES, ET PAPIERS ET CARTONS POUR CARTES OU BANDES À PERFORER, NON-PERFORÉS, EN ROULEAUX DE TOUT FORMAT, SANS FIBRES OBTENUES PAR UN PROCÉDÉ MÉ</t>
  </si>
  <si>
    <t>=t("   PAPIERS ET CARTONS, NON-COUCHÉS NI ENDUITS, UTILISÉS POUR L'ÉCRITURE, L'IMPRESSION OU D'AUTRES FINS GRAPHIQUES, ET PAPIERS ET CARTONS POUR CARTES OU BANDES À PERFORER, NON-PERFORÉS, EN FEUILLES DE FORME CARRÉE OU RECTANGULAIRE DONT UN CÔTÉ &lt;= 435 M</t>
  </si>
  <si>
    <t>=t("   Papiers et cartons, non couchés ni enduits, utilisés pour l'écriture, l'impression ou d'autres fins graphiques, et papiers et cartons pour cartes ou bandes à perforer, non perforés, en feuilles de forme carrée ou rectangulaire dont un coté &gt; 435 mm</t>
  </si>
  <si>
    <t>=t("   PAPIERS ET CARTONS, NON-COUCHÉS NI ENDUITS, UTILISÉS POUR L'ÉCRITURE, L'IMPRESSION OU D'AUTRES FINS GRAPHIQUES, ET PAPIERS ET CARTONS POUR CARTES OU BANDES À PERFORER, NON-PERFORÉS, EN ROULEAUX OU EN FEUILLES DE FORME CARRÉE OU RECTANGULAIRE, DE TO</t>
  </si>
  <si>
    <t xml:space="preserve">=t("   PAPIERS ET CARTONS, NON-COUCHÉS NI ENDUITS, UTILISÉS POUR L'ÉCRITURE, L'IMPRESSION OU D'AUTRES FINS GRAPHIQUES, ET PAPIERS ET CARTONS POUR CARTES OU BANDES À PERFORER, NON-PERFORÉS, EN ROULEAUX DE TOUT FORMAT, DONT &gt; 10% EN POIDS DE LA COMPOSITION </t>
  </si>
  <si>
    <t>=t("   Papiers et cartons, non couchés ni enduits, utilisés pour l'écriture, l'impression ou d'autres fins graphiques, et papiers et cartons pour cartes ou bandes à perforer, non perforés, en feuilles de forme carrée ou rectangulaire dont un coté &lt;= 435 m</t>
  </si>
  <si>
    <t>=t("   Papiers utilisés pour papiers de toilette, serviettes à démaquiller, essuie-mains, serviettes ou papiers simil. à usages domestiques, d'hygiène ou de toilette, ouate de cellulose et nappes de fibres de cellulose, même crêpés, plissés, gaufrés, esta</t>
  </si>
  <si>
    <t>=t("   PAPIERS ET CARTONS KRAFT, ÉCRUS, NON-COUCHÉS NI ENDUITS, EN ROULEAUX D'UNE LARGEUR &gt; 36 CM OU EN FEUILLES DE FORME CARRÉE OU RECTANGULAIRE DONT AU MOINS UN CÔTÉ &gt; 36 CM ET L'AUTRE &gt; 15 CM À L'ÉTAT NON-PLIÉ, D'UN POIDS &lt;= 150 G/M² (À L'EXCL. DES PAP</t>
  </si>
  <si>
    <t>=t("   PAPIERS ET CARTONS KRAFT, NON-COUCHÉS NI ENDUITS, EN ROULEAUX D'UNE LARGEUR &gt; 36 CM OU EN FEUILLES DE FORME CARRÉE OU RECTANGULAIRE DONT AU MOINS UN CÔTÉ &gt; 36 CM ET L'AUTRE &gt; 15 CM À L'ÉTAT NON-PLIÉ, D'UN POIDS &lt;= 150 G/M² (À L'EXCL. DES PRODUITS É</t>
  </si>
  <si>
    <t>=t("   PAPIERS ET CARTONS KRAFT, NON-COUCHÉS NI ENDUITS, EN ROULEAUX D'UNE LARGEUR &gt; 36 CM OU EN FEUILLES DE FORME CARRÉE OU RECTANGULAIRE DONT AU MOINS UN CÔTÉ &gt; 36 CM ET L'AUTRE &gt; 15 CM À L'ÉTAT NON-PLIÉ, D'UN POIDS &gt;= 225 G/M² (SAUF PRODUITS 'KRAFTLINE</t>
  </si>
  <si>
    <t>=t("   PAPIER POUR CANNELURE, NON-COUCHÉS NI ENDUITS, EN ROULEAUX D'UNE LARGEUR &gt; 36 CM OU EN FEUILLES DE FORME CARRÉE OU RECTANGULAIRE DONT AU MOINS UN CÔTÉ &gt; 36 CM ET L'AUTRE &gt; 15 CM À L'ÉTAT NON-PLIÉ (À L'EXCL. DU PAPIER MI-CHIMIQUE POUR CANNELURE ET D</t>
  </si>
  <si>
    <t>=t("   PAPIER DIT 'CRISTAL' ET AUTRES PAPIERS CALANDRÉS TRANSPARENTS OU TRANSLUCIDES, EN ROULEAUX D'UNE LARGEUR &gt; 36 CM OU EN FEUILLES DE FORME CARRÉE OU RECTANGULAIRE DONT AU MOINS UN CÔTÉ &gt; 36 CM ET L'AUTRE &gt; 15 CM À L'ÉTAT NON-PLIÉ (À L'EXCL. DES PAPIE</t>
  </si>
  <si>
    <t>=t("   PAPIERS ET CARTONS ASSEMBLÉS À PLAT PAR COLLAGE, NON-COUCHÉS NI ENDUITS À LA SURFACE NI IMPRÉGNÉS, MÊME RENFORCÉS INTÉRIEUREMENT, EN ROULEAUX D'UNE LARGEUR &gt; 36 CM OU EN FEUILLES DE FORME CARRÉE OU RECTANGULAIRE DONT AU MOINS UN CÔTÉ &gt; 36 CM ET L'A</t>
  </si>
  <si>
    <t xml:space="preserve">=t("   Papiers kraft, crêpés ou plissés, même gaufrés, estampés ou perforés, en rouleaux d'une largeur &gt; 36 cm ou en feuilles de forme carrée ou rectangulaire dont au moins un coté &gt; 36 cm et l'autre &gt; 15 cm à l'état non plié (à l'excl. des papiers kraft </t>
  </si>
  <si>
    <t>=t("   Papiers et cartons crêpés, plissés, gaufrés, estampés ou perforés, en rouleaux d'une largeur &gt; 36 cm ou en feuilles de forme carrée ou rectangulaire dont au moins un coté &gt; 36 cm et l'autre &gt; 15 cm à l'état non plié (à l'excl. des articles du n° 48</t>
  </si>
  <si>
    <t>=t("   Papiers pour duplication ou reports - y.c. les papiers couchés, enduits ou imprégnés pour stencils ou pour plaques offset -, même imprimés, en rouleaux d'une largeur &gt; 36 cm ou en feuilles de forme carrée ou rectangulaire dont un côté au moins &gt; 36</t>
  </si>
  <si>
    <t>=t("   Papiers et cartons, des types utilisés pour écriture, impression ou autres fins graphiques, sans fibres obtenues par un procédé mécanique ou chimico-mécanique ou dont &lt;= 10% en poids de la composition fibreuse totale sont constitués par de telles f</t>
  </si>
  <si>
    <t>=t("   Papiers et cartons, des types utilisés pour écriture, impression ou autres fins graphiques, dont &gt; 10% en poids de la composition fibreuse totale sont constitués par des fibres obtenues par un procédé mécanique ou chimico-mécanique,  couché au kaol</t>
  </si>
  <si>
    <t>=t("   Papiers et cartons kraft, couchés au kaolin ou à d'autres substances inorganiques sur une ou sur les deux faces, blanchis uniformément dans la masse et dont &gt; 95% en poids de la composition fibreuse totale sont constitués par des fibres de bois obt</t>
  </si>
  <si>
    <t>=t("   Papiers et cartons kraft, couchés au kaolin ou à d'autres substances inorganiques sur une ou sur les deux faces, en rouleaux ou feuilles définis par notes 7a ou 7b de ce chapitre (sauf produits utilisés à des fins graphiques et les papiers et carto</t>
  </si>
  <si>
    <t>=t("   Papiers et cartons multicouches, couchés au kaolin ou à d'autres substances inorganiques sur une ou sur les deux faces, en rouleaux ou en feuilles de forme carrée ou rectangulaire, de tout format (à l'excl. des papiers et cartons kraft ainsi que de</t>
  </si>
  <si>
    <t>=t("   Papiers et cartons couchés au kaolin ou à d'autres substances inorganiques sur une ou sur les deux faces, avec ou sans liants, même coloriés en surface, décorés en surface ou imprimés, en rouleaux ou en feuilles de forme carrée ou rectangulaire, de</t>
  </si>
  <si>
    <t>=t("   Papiers et cartons, coloriés en surface, décorés en surface ou imprimés, enduits, imprégnés ou recouverts de matière plastique, en rouleaux ou en feuilles de forme carrée ou rectangulaire, de tout format (à l'excl. des adhésifs ainsi que des papier</t>
  </si>
  <si>
    <t>=t("   Papiers, cartons, ouate de cellulose et nappes de fibres de cellulose, couchés, enduits, imprégnés, recouverts, coloriés en surface, décorés en surface ou imprimés, en rouleaux ou en feuilles de forme carrée ou rectangulaire, de tout format (à l'ex</t>
  </si>
  <si>
    <t>=t("   Papiers dits 'autocopiants', présentés en rouleaux d'une largeur &lt;= 36 cm ou en feuilles carrées ou rectangulaires dont aucun côté &gt; 36 cm à l'état non plié, ou découpés de forme autre que carrée ou rectangulaire, même conditionnés en boîtes (à l'e</t>
  </si>
  <si>
    <t>=t("   Papiers pour duplication ou reports - présentés en rouleaux d'une largeur &lt;= 36 cm ou en feuilles carrées ou rectangulaires dont aucun côté &gt; 36 cm à l'état non plié, ou découpés de forme autre que carrée ou rectangulaire -, et plaques offset, en p</t>
  </si>
  <si>
    <t>=t("   Papiers des types utilisés pour papiers de toilette et pour papiers simil., ouate de cellulose ou nappes de fibres de cellulose, des types utilisés à des fins domestiques ou sanitaires, en rouleaux d'une largeur &lt;= 36 cm, ou coupés à format; articl</t>
  </si>
  <si>
    <t>=t("   Emballages, y.c. les pochettes pour disques, en papier, carton, ouate de cellulose ou nappes de fibres de cellulose (à l'excl. des boîtes et caisses en papier ou en carton ondulé, des boîtes et cartonnages, pliants, en papier ou en carton non ondul</t>
  </si>
  <si>
    <t>=t("   Sous-main et autres articles scolaires, de bureau ou de papeterie, en papier ou en carton, et couvertures pour livres, en papier ou en carton (sauf registres, livres comptables, carnets de notes, de commandes ou de quittances, blocs-memorandums, bl</t>
  </si>
  <si>
    <t xml:space="preserve">=t("   PAPIERS, CARTONS, OUATE DE CELLULOSE ET NAPPES DE FIBRES DE CELLULOSE, EN BANDES OU EN ROULEAUX D'UNE LARGEUR &lt;= 36 CM OU EN FEUILLES DE FORME CARRÉE OU RECTANGULAIRE DONT AUCUN CÔTÉ &gt; 36 CM À L'ÉTAT NON-PLIÉ, OU DÉCOUPÉS DE FORME AUTRE QUE CARRÉE </t>
  </si>
  <si>
    <t>=t("   Plans et dessins d'architectes, d'ingénieurs et autres plans et dessins industriels, commerciaux, topographiques ou simil., obtenus en original à la main; textes écrits à la main; reproductions photographiques sur papier sensibilisé et copies obten</t>
  </si>
  <si>
    <t>=t("   TIMBRES-POSTE, TIMBRES FISCAUX ET ANALOGUES, NON-OBLITÉRÉS, AYANT COURS OU DESTINÉS À AVOIR COURS DANS LE PAYS DANS LEQUEL ILS ONT,  OU AURONT, UNE VALEUR FACIALE RECONNUE; PAPIER TIMBRÉ; BILLETS DE BANQUE; CHÈQUES; TITRES D'ACTIONS OU D'OBLIGATION</t>
  </si>
  <si>
    <t>=t("   Tissus de laine peignée ou de poils fins peignés, contenant en prédominance, mais &lt; 85% en poids de laine ou de poils fins (à l'excl. des tissus de laine ou de poils fins mélangés principalement ou uniquement avec des filaments synthétiques ou arti</t>
  </si>
  <si>
    <t>=t("   Tissus de coton, écrus, contenant en prédominance, mais &lt; 85% en poids de coton, mélangés principalement ou uniquement avec des fibres synthétiques ou artificielles, d'un poids &lt;= 200 g/m² (à l'excl. des tissus à armure toile ou à armure sergé [y.c</t>
  </si>
  <si>
    <t>=t("   Tissus de coton, en fils de diverses couleurs, contenant en prédominance, mais &lt; 85% en poids de coton, mélangés principalement ou uniquement avec des fibres synthétiques ou artificielles, d'un poids &gt; 200 g/m² (à l'excl. des tissus dits 'denim' ai</t>
  </si>
  <si>
    <t>=t("   Tissus de coton, imprimés, contenant en prédominance, mais &lt; 85% en poids de coton, mélangés principalement ou uniquement avec des fibres synthétiques ou artificielles, d'un poids &gt; 200 g/m² (à l'excl. des tissus à armure toile ou à armure sergé [y</t>
  </si>
  <si>
    <t>=t("   FILS SIMPLES, DE FILAMENTS SYNTHÉTIQUES, SANS TORSION OU D'UNE TORSION &lt;= 50 TOURS/M, NON-CONDITIONNÉS POUR LA VENTE AU DÉTAIL, Y.C. LES MONOFILAMENTS SYNTHÉTIQUES DE MOINS DE 67 DÉCITEX (À L'EXCL. DES FILS À COUDRE, DES FILS TEXTURÉS AINSI QUE DES</t>
  </si>
  <si>
    <t xml:space="preserve">=t("   FILS RETORS OU CÂBLÉS, DE FILAMENTS SYNTHÉTIQUES, NON-CONDITIONNÉS POUR LA VENTE AU DÉTAIL, Y.C. LES MONOFILAMENTS SYNTHÉTIQUES DE MOINS DE 67 DÉCITEX (À L'EXCL. DES FILS À COUDRE, DES FILS TEXTURÉS ET DES FILS DE FILAMENTS DE POLYESTERS, DE NYLON </t>
  </si>
  <si>
    <t>=t("   Tissus obtenus à partir de fils de diverses couleurs contenant &gt;= 85% en poids de filaments synthétiques, y.c. les tissus obtenus à partir des monofilaments du n° 5404 (à l'excl. des tissus obtenus à partir de filaments ou de monofilaments de polye</t>
  </si>
  <si>
    <t>=t("   Tissus, écrus ou blanchis, de fibres discontinues de polyester, contenant en prédominance, mais &lt; 85% en poids de ces fibres, mélangés principalement ou uniquement avec du coton, d'un poids &lt;= 170 g/m² (à l'excl. des tissus à armure toile ou à armu</t>
  </si>
  <si>
    <t>=t("   Tissus, écrus ou blanchis, de fibres synthétiques discontinues, contenant en prédominance, mais &lt; 85% en poids de ces fibres, mélangés principalement ou uniquement avec du coton, d'un poids &lt;= 170 g/m² (à l'excl. des tissus de fibres discontinues d</t>
  </si>
  <si>
    <t>=t("   Tissus en fils de diverses couleurs, en fibres discontinues de polyester, contenant en prédominance, mais &lt; 85% en poids de ces fibres, mélangés principalement ou uniquement avec du coton, d'un poids &lt;= 170 g/m² (à l'excl. des tissus à armure toile</t>
  </si>
  <si>
    <t>=t("   Tissus en fils de diverses couleurs, en fibres synthétiques discontinues, contenant en prédominance, mais &lt; 85% en poids de ces fibres, mélangés principalement ou uniquement avec du coton, d'un poids &gt; 170 g/m² (à l'excl. des tissus de fibres disco</t>
  </si>
  <si>
    <t>=t("   Tissus, imprimés, de fibres discontinues de polyester, contenant en prédominance, mais &lt; 85% en poids de ces fibres, mélangés principalement ou uniquement avec du coton, d'un poids &gt; 170 g/m² (à l'excl. des tissus à armure toile ou à armure sergé [</t>
  </si>
  <si>
    <t xml:space="preserve">=t("   Tissus de fibres discontinues de polyester, contenant en prédominance, mais &lt; 85% en poids de ces fibres (à l'excl. des tissus mélangés principalement ou uniquement avec de la laine ou des poils fins, des filaments synthétiques ou artificiels, des </t>
  </si>
  <si>
    <t>=t("   Tissus de fibres discontinues acryliques ou modacryliques, contenant en prédominance, mais &lt; 85% en poids de ces fibres (à l'excl. des tissus mélangés principalement ou uniquement avec de la laine ou des poils fins, des filaments synthétiques ou ar</t>
  </si>
  <si>
    <t>=t("   Tissus de fibres synthétiques discontinues, contenant en prédominance, mais &lt; 85% en poids de ces fibres, mélangés principalement ou uniquement avec des filaments synthétiques ou artificiels (à l'excl. des tissus de fibres discontinues acryliques o</t>
  </si>
  <si>
    <t>=t("   Tissus de fibres synthétiques discontinues, contenant en prédominance, mais &lt; 85% en poids de ces fibres, mélangés principalement ou uniquement avec de la laine ou des poils fins (à l'excl. des tissus de fibres discontinues acryliques ou modacryliq</t>
  </si>
  <si>
    <t>=t("   Tissus de fibres synthétiques discontinues, contenant en prédominance, mais &lt; 85% en poids de ces fibres (à l'excl. des tissus de fibres discontinues acryliques ou modacryliques ou de fibres discontinues de polyester ainsi que des tissus mélangés p</t>
  </si>
  <si>
    <t xml:space="preserve">=t("   Ouates de coton et articles en ces ouates (sauf serviettes et tampons hygiéniques, couches pour bébés et articles hygiéniques simil., produits imprégnés ou recouverts de substances pharmaceutiques ou conditionnés pour la vente au détail à des fins </t>
  </si>
  <si>
    <t>=t("   Ouates de matières textiles et artificielles en ces ouates (sauf produits en coton ou fibres synthétiques ou artificielles; serviettes et tampons hygiéniques; couches pour bébés et articles hygiéniques simil.; produits imprégnés ou recouverts de su</t>
  </si>
  <si>
    <t xml:space="preserve">=t("   Filés métalliques et fils métallisés, même guipés, constitués par des fils textiles, des lames ou formes simil. du n° 5404 ou 5405, combinés avec du métal sous forme de fils, de lames ou de poudres, ou recouverts de métal (sauf fils textiles armés </t>
  </si>
  <si>
    <t xml:space="preserve">=t("   Filets à mailles nouées, en nappes ou en pièces, obtenus à partir de ficelles, cordes ou cordages; filets confectionnés, en matières textiles synthétiques ou artificielles (à l'excl. des filets confectionnés pour la pêche, des résilles et filets à </t>
  </si>
  <si>
    <t>=t("   Filets à mailles nouées, en nappes ou en pièces, obtenus à partir de ficelles, cordes ou cordages; filets confectionnés pour la pêche et autres filets confectionnés, en matières textiles végétales (à l'excl. des filets et résilles à cheveux ainsi q</t>
  </si>
  <si>
    <t>=t("   Tapis et autres revêtements de sol, de matières textiles végétales ou de poils grossiers, tissés, non touffetés ni floqués, à velours, non confectionnés (à l'excl. des revêtements de sol en coco et des tapis dits 'kelim', 'kilim', 'schumacks', 'sou</t>
  </si>
  <si>
    <t xml:space="preserve">=t("   TAPIS ET AUTRES REVÊTEMENTS DE SOL, DE MATIÈRES SYNTHÉTIQUES OU ARTIFICIELLES, TISSÉS, NON-TOUFFETÉS NI FLOQUÉS, À VELOURS, CONFECTIONNÉS (À L'EXCL. DES TAPIS DITS 'KELIM', 'KILIM', 'SCHUMACKS', 'SOUMAK' OU 'KARAMANIE' ET DES TAPIS SIMIL. TISSÉS À </t>
  </si>
  <si>
    <t>=t("   Tapis et autres revêtements de sol, de matières textiles végétales ou de poils grossiers, tissés, non touffetés ni floqués, sans velours, non confectionnés (à l'excl. des tapis dits 'kelim', 'kilim', 'schumacks', 'soumak' ou 'karamanie' et des tapi</t>
  </si>
  <si>
    <t>=t("   TAPIS ET AUTRES REVÊTEMENTS DE SOL, DE MATIÈRES TEXTILES SYNTHÉTIQUES OU ARTIFICIELLES, TISSÉS, NON-TOUFFETÉS NI FLOQUÉS, SANS VELOURS, CONFECTIONNÉS (À L'EXCL. DES TAPIS DITS 'KELIM', 'KILIM', 'SCHUMACKS', 'SOUMAK' OU 'KARAMANIE' ET DES TAPIS SIMI</t>
  </si>
  <si>
    <t>=t("   Tapis et autres revêtements de sol, de matières textiles végétales ou de poils grossiers, tissés, non touffetés ni floqués, sans velours, confectionnés (à l'excl. des revêtements de sol en coco ainsi que des tapis dits 'kelim', 'kilim', 'schumacks'</t>
  </si>
  <si>
    <t>=t("   Tapisseries tissées à la main [genre Gobelins, Flandres, Aubusson, Beauvais et simil.] et tapisseries à l'aiguille [au petit point, au point de croix, par exemple], même confectionnées (à l'excl. des tapisseries ayant plus de 100 ans d'âge ainsi qu</t>
  </si>
  <si>
    <t>=t("   Tissus imprégnés, enduits ou recouverts de matières plastiques autres que poly[chlorure de vinyle] ou polyuréthanne ou stratifiés avec des matières plastiques autres que poly[chlorure de vinyle] ou polyuréthanne (sauf nappes tramées pour pneumatiqu</t>
  </si>
  <si>
    <t>=t("   Mèches tissées, tressées ou tricotées, en matières textiles, pour lampes, réchauds, briquets, bougies ou simil.; manchons à incandescence et étoffes tubulaires tricotées servant à leur fabrication, même imprégnés (à l'excl. des mèches recouvertes d</t>
  </si>
  <si>
    <t>=t("   Courroies transporteuses ou de transmission en matières textiles, même imprégnées, enduites, recouvertes de matière plastique ou stratifiées avec de la matière plastique ou renforcées de métal ou d'autres matières (sauf produits d'une épaisseur &lt; 3</t>
  </si>
  <si>
    <t xml:space="preserve">=t("   TISSUS, FEUTRES ET TISSUS DOUBLÉS DE FEUTRE, COMBINÉS AVEC UNE OU PLUSIEURS COUCHES DE CAOUTCHOUC, DE CUIR OU D'AUTRES MATIÈRES, DES TYPES UTILISÉS POUR LA FABRICATION DE GARNITURES DE CARDÉS, ET PRODUITS ANALOGUES POUR D'AUTRES USAGES TECHNIQUES, </t>
  </si>
  <si>
    <t xml:space="preserve">=t("   ETOFFES DE BONNETERIE D'UNE LARGEUR &lt;= 30 CM, TENEUR EN FILS D'ÉLASTOMÈRES &gt;= 5% EN POIDS (SANS FILS DE CAOUTCHOUC ET À L'EXCL. DES VELOURS, PELUCHES, Y.C. LES ÉTOFFES DITES 'À LONGS POILS', ÉTOFFES À BOUCLES EN BONNETERIE, ÉTIQUETTES, ÉCUSSONS ET </t>
  </si>
  <si>
    <t>=t("   Etoffes de bonneterie-chaîne, y.c. celles fabriquées sur métiers à galonner, d'une largeur &gt; 30 cm, de laine ou poils fins (à l'excl. de celles contenant en poids &gt;= 5% de fils d'élastomères ou de fils de caoutchouc ainsi que des velours, peluches,</t>
  </si>
  <si>
    <t xml:space="preserve">=t("   MANTEAUX, CABANS, CAPES, ANORAKS, BLOUSONS ET ARTICLES SIMIL., EN BONNETERIE, DE MATIÈRES TEXTILES, POUR HOMMES ET GARÇONNETS (SAUF DE COTON, FIBRES SYNTHÉTIQUES OU ARTIFICIELLES ET SAUF COSTUMES OU COMPLETS, ENSEMBLES, VESTES, VESTONS, BLAZERS ET </t>
  </si>
  <si>
    <t>=t("   PANTALONS, Y.C. KNICKERS ET PANTALONS SIMIL., ET CULOTTES, SALOPETTES À BRETELLES ET SHORTS, EN BONNETERIE, DE MATIÈRES TEXTILES, POUR FEMMES OU FILLETTES (SAUF DE LAINE, POILS FINS, COTON, FIBRES SYNTHÉTIQUES ET SAUF SLIPS ET MAILLOTS, CULOTTES ET</t>
  </si>
  <si>
    <t>=t("   Déshabillés, peignoirs de bain, robes de chambre et articles simil., en bonneterie, de matières textiles, pour femmes ou fillettes (sauf de coton ou fibres synthétiques ou artificielles et sauf gilets de corps, combinaisons et fonds de robe, jupons</t>
  </si>
  <si>
    <t>=t("   Bas et mi-bas, chaussettes et autres articles chaussants, y.c. les bas à varices, en bonneterie, de fibres synthétiques (sauf collants "bas-culottes" bas et mi-bas de femmes à titre en fils simples &lt; 67 décitex et sauf articles chaussants pour bébé</t>
  </si>
  <si>
    <t>=t("   BAS ET MI-BAS, CHAUSSETTES ET AUTRES ARTICLES CHAUSSANTS, Y.C. LES BAS À VARICES, EN BONNETERIE, DE MATIÈRES TEXTILES (AUTRES QUE LAINE, POILS FINS, COTON, FIBRES SYNTHÉTIQUES ET SAUF COLLANTS 'BAS-CULOTTES' BAS ET MI-BAS POUR FEMMES À TITRE &lt; 67 D</t>
  </si>
  <si>
    <t>=t("   Anoraks, blousons et articles simil., de matières textiles, pour hommes ou garçonnets (autres que laine, poils fins, coton, fibres synthétiques ou artificielles et à l'excl. des articles en bonneterie et des costumes ou complets, ensembles, vestes,</t>
  </si>
  <si>
    <t>=t("   Anoraks, blousons et articles simil., de matières textiles, pour femmes ou fillettes (autres que laine, poils fins, coton, fibres synthétiques ou artificielles et à l'excl. des articles en bonneterie et des costumes tailleurs, ensembles, vestes, bl</t>
  </si>
  <si>
    <t>=t("   Costumes ou complets, de matières textiles, pour hommes ou garçonnets (autres que laine, poils fins ou fibres synthétiques, autres qu'en bonneterie et sauf survêtements de sport 'trainings', combinaisons et ensembles de ski, maillots, culottes et s</t>
  </si>
  <si>
    <t>=t("   Pantalons, y.c. knickers et pantalons simil., salopettes à bretelles, culottes et shorts, de matières textiles, pour hommes ou garçonnets (autres que laine, poils fins, coton ou fibres synthétiques, autres qu'en bonneterie et sauf slips et caleçons</t>
  </si>
  <si>
    <t xml:space="preserve">=t("   Pantalons, y.c. knickers et pantalons simil., salopettes à bretelles, culottes et shorts, de matières textiles, pour femmes ou fillettes (autres que de laine, poils fins, coton, fibres synthétiques ou artificielles, autres qu'en bonneterie et sauf </t>
  </si>
  <si>
    <t>=t("   Chemisiers, blouses, blouses-chemisiers et chemisettes, de matières textiles, pour femmes ou fillettes (autres que de laine, poils fins, coton, fibres synthétiques ou artificielles, soie et déchets de soie, autres qu'en bonneterie et sauf gilets de</t>
  </si>
  <si>
    <t>=t("   Gilets de corps, chemises de jour, slips, déshabillés, peignoirs de bain, robes de chambre et articles simil., de matières textiles, pour femmes ou fillettes (autres que de coton, fibres synthétiques ou artificielles, autres qu'en bonneterie et sau</t>
  </si>
  <si>
    <t>=t("   Vêtements de tissus, autres qu'en bonneterie, caoutchoutés ou imprégnés, enduits ou recouverts de matière plastique ou d'autres substances, pour hommes ou garçonnets (autres que vêtements des types du n° 6201.11 à 6201.19 [manteaux, cabans, capes e</t>
  </si>
  <si>
    <t>=t("   Vêtements de tissus, autres qu'en bonneterie, caoutchoutés ou imprégnés, enduits ou recouverts de matière plastique ou d'autres substances, pour femmes ou fillettes (autres que vêtements des types du n° 6202.11 à 6202.19 [manteaux, cabans, capes et</t>
  </si>
  <si>
    <t>=t("   Corsets, bretelles, jarretelles, jarretières et simil. et leurs parties, y.c. parties de soutiens-gorge, gaines, gaines-culottes et combinés, en tous types de matières textiles, même élastiques et même en bonneterie (sauf soutiens-gorge, gaines, ga</t>
  </si>
  <si>
    <t>=t("   Couvertures de matières textiles (autres que de laine ou poils fins, coton ou fibres synthétiques et que chauffantes électriques et sauf linge de table, couvre-lits, linge de lit et les articles simil. du n° 9404 [sommiers et autres articles de lit</t>
  </si>
  <si>
    <t xml:space="preserve">=t("   Articles d'ameublement en bonneterie (sauf couvertures, linge de lit, linge de table, linge de toilette et de cuisine, vitrages, rideaux, stores d'intérieur, cantonnières et tours de lit, couvre-lits, abat-jour et les articles du n° 9404 [sommiers </t>
  </si>
  <si>
    <t xml:space="preserve">=t("   Articles d'ameublement, de fibres synthétiques (autres qu'en bonneterie et sauf couvertures, linge de lit, linge de table, linge de toilette et de cuisine, vitrages, rideaux, stores d'intérieur, cantonnières et tours de lit, couvre-lits, abat-jour </t>
  </si>
  <si>
    <t>=t("   Articles d'ameublement, de matières textiles (autres que de coton ou fibres synthétiques, autres qu'en bonneterie et sauf couvertures, linge de lit, linge de table, linge de toilette et de cuisine, vitrages, rideaux, stores d'intérieur, cantonnière</t>
  </si>
  <si>
    <t>=t("   Assortiments composés de pièces de tissus et de fils, même avec accessoires, pour la confection de tapis, de tapisseries, de nappes de table ou de serviettes brodées, ou d'articles textiles simil., en emballages pour la vente au détail (sauf assort</t>
  </si>
  <si>
    <t>=t("   Articles de friperie composés de vêtements, accessoires du vêtement, couvertures, linge de maison et articles d'aménagement intérieur, en tous types de matières textiles, y.c. les chaussures et coiffures de tous genres, manifestement usagés et prés</t>
  </si>
  <si>
    <t>=t("   Chaussures étanches, à semelles extérieures et dessus en caoutchouc ou en matière plastique, dont le dessus n'a été ni réuni à la semelle extérieure par couture ou par rivets, clous, vis, tétons ou dispositifs simil., ni formé de différentes partie</t>
  </si>
  <si>
    <t xml:space="preserve">=t("   CHAUSSURES ÉTANCHES, À SEMELLES EXTÉRIEURES ET DESSUS EN CAOUTCHOUC OU EN MATIÈRE PLASTIQUE, DONT LE DESSUS N'A ÉTÉ NI RÉUNI À LA SEMELLE EXTÉRIEURE PAR COUTURE OU PAR RIVETS, CLOUS OU DISPOSITIFS SIMIL., NI FORMÉ DE DIFFÉRENTES PARTIES ASSEMBLÉES </t>
  </si>
  <si>
    <t>=t("   Chaussures de sport à semelles extérieures et dessus en caoutchouc ou en matière plastique (sauf chaussures étanches du n° 6401, chaussures de ski, chaussures pour le surf des neiges et chaussures auxquelles sont fixés des patins à glace ou à roule</t>
  </si>
  <si>
    <t xml:space="preserve">=t("   Chaussures à semelles extérieures et dessus en caoutchouc ou en matières plastiques, comportant à l'avant, une coquille de protection en métal (sauf chaussures étanches à semelles extérieures et dessus en caoutchouc ou matières plastiques, dont le </t>
  </si>
  <si>
    <t>=t("   CHAUSSURES À SEMELLES EXTÉRIEURES ET DESSUS EN CAOUTCHOUC OU EN MATIÈRES PLASTIQUES (SAUF COUVRANT LA CHEVILLE OU À DESSUS EN LANIÈRES OU BRIDES FIXÉES À LA SEMELLE PAR DES TÉTONS AINSI QUE DES CHAUSSURES ÉTANCHES DU N° 6401, DES CHAUSSURES D'ORTHO</t>
  </si>
  <si>
    <t>=t("   Chaussures de sport à semelles extérieures en caoutchouc, matière plastique, cuir naturel ou reconstitué et dessus en cuir naturel (sauf chaussures de ski, chaussures pour le surf des neiges et chaussures auxquelles sont fixés des patins à glace ou</t>
  </si>
  <si>
    <t>=t("   CHAUSSURES À SEMELLES EXTÉRIEURES ET DESSUS EN CUIR NATUREL (NE COUVRANT PAS LA CHEVILLE, SANS COQUILLE DE PROTECTION EN MÉTAL À L'AVANT ET À L'EXCL. DES CHAUSSURES À DESSUS EN LANIÈRES DE CUIR NATUREL PASSANT SUR LE COU-DE-PIED ET ENTOURANT LE GRO</t>
  </si>
  <si>
    <t>=t("   CHAUSSURES À SEMELLES EXTÉRIEURES EN CAOUTCHOUC, MATIÈRE PLASTIQUE OU CUIR RECONSTITUÉ, À DESSUS EN CUIR NATUREL (NE COUVRANT PAS LA CHEVILLE, SANS COQUILLE DE PROTECTION EN MÉTAL À L'AVANT ET SAUF CHAUSSURES DE SPORT, D'ORTHOPÉDIE OU AYANT LE CARA</t>
  </si>
  <si>
    <t>=t("   Chaussures à semelles extérieures en caoutchouc ou en matière plastique et à dessus en matières textiles (sauf chaussures de sport, y.c. chaussures dites de tennis, de basket-ball, de gymnastique, d'entraînement et chaussures simil. ainsi que chaus</t>
  </si>
  <si>
    <t>=t("   CHAUSSURES À SEMELLES EXTÉRIEURES EN CAOUTCHOUC OU EN MATIÈRE PLASTIQUE ET À DESSUS EN AUTRES MATIÈRES QUE CAOUTCHOUC, MATIÈRE PLASTIQUE, CUIR OU MATIÈRES TEXTILES; CHAUSSURES À SEMELLES EXTÉRIEURES EN CUIR NATUREL OU RECONSTITUÉ ET À DESSUS EN D'A</t>
  </si>
  <si>
    <t>=t("   Chapeaux et autres coiffures en bonneterie ou confectionnés à l'aide de dentelles, feutre ou autres produits textiles, en pièces -mais non en bandes-, même garnis (sauf résilles, filets à cheveux et coiffures pour animaux ou ayant le caractère de j</t>
  </si>
  <si>
    <t>=t("   BONNETS DE BAIN, CAPUCHONS ET AUTRES COIFFURES, MÊME GARNIS, EN CAOUTCHOUC OU EN MATIÈRE PLASTIQUE (À L'EXCL. DES COIFFURES DE SÉCURITÉ ET DES COIFFURES AYANT LE CARACTÈRE DE JOUETS OU D'ARTICLES DE CARNAVAL) [01/01/1988-31/12/1994: BONNETS DE BAIN</t>
  </si>
  <si>
    <t>=t("   Carreaux, cubes, dés et autres pierres naturelles travaillées, y.c. l'ardoise, pour mosaïques et ouvrages analogues, même de forme autre que carrée ou rectangulaire, dont la plus grande surface peut être inscrite dans un carré de côté &lt; 7 cm; granu</t>
  </si>
  <si>
    <t>=t("   Marbre, travertin et albâtre, ouvrages en ces pierres, simplement taillés ou sciés et à surface plane ou unie (sauf à surface entièrement ou partiellement rabotée, poncée au papier sablé, grossièrement ou finement meulée ou polie; non du n° 6801.00</t>
  </si>
  <si>
    <t>=t("   Pierres de taille ou de construction, naturelles, autres que les pierres calcaires, le granit et l'ardoise et ouvrages en ces pierres, simplement taillées ou sciées et à surface plane ou unie (sauf à surface entièrement ou partiellement rabotée, po</t>
  </si>
  <si>
    <t>=t("   Marbre, travertin et albâtre de n'importe quelle forme, polis, décorés ou autrement travaillés (sauf ouvrages du n° 6801.00.00 ou 6802.10.00; bijoux de fantaisie; pendules et articles d'horlogerie, appareils d'éclairage et leurs parties; boutons; o</t>
  </si>
  <si>
    <t>=t("   PIERRES DE TAILLE OU DE CONSTRUCTION, NATURELLES, AUTRES QUE LES PIERRES CALCAIRES, LE GRANIT, L'ARDOISE, DE N'IMPORTE QUELLE FORME, POLIES, DÉCORÉES OU AUTREMENT TRAVAILLÉES (SAUF OUVRAGES DU 6802.10; ARTICLES EN BASALTE FONDU OU EN STÉATITE CÉRAM</t>
  </si>
  <si>
    <t xml:space="preserve">=t("   Meules et articles simil., sans bâtis, à aiguiser, polir, rectifier, trancher ou tronçonner en diamants naturels ou synthétiques agglomérés (sauf pierres à aiguiser ou à polir à la main et sauf meules, etc. spécialement travaillées pour fraises de </t>
  </si>
  <si>
    <t>=t("   Meules et articles simil., sans bâtis, à broyer, aiguiser, polir, rectifier, trancher ou tronçonner, en abrasifs agglomérés ou en céramique (sauf diamants naturels ou synthétiques agglomérés et sauf pierres à aiguiser ou à polir à la main, la pierr</t>
  </si>
  <si>
    <t xml:space="preserve">=t("   Meules et articles simil., sans bâtis, à broyer, aiguiser, polir, rectifier, trancher ou tronçonner, en pierres naturelles (sauf en abrasifs naturels agglomérés ou en céramique, sauf la pierre ponce parfumée et sauf pierres à aiguiser et à polir à </t>
  </si>
  <si>
    <t>=t("   Mélanges et ouvrages en matières minérales à usage d'isolants thermiques ou sonores ou pour l'absorption du son (sauf laines de laitier, de scories, de roche et laines minérales simil.; vermiculite expansée, argile expansée, mousse de scories et pr</t>
  </si>
  <si>
    <t>=t("   Panneaux, planches, carreaux, blocs et articles simil., en fibres végétales, en paille ou en copeaux, plaquettes, particules, sciures ou autres déchets de bois, agglomérés avec du ciment, du plâtre ou d'autres liants minéraux (sauf articles en amia</t>
  </si>
  <si>
    <t>=t("   Planches, plaques, panneaux, carreaux et articles simil., en plâtre ou en compositions à base de plâtre, non ornementés, revêtus ou renforcés de papier ou de carton uniquement (sauf ouvrages à liaison en plâtre à usage d'isolants thermiques ou sono</t>
  </si>
  <si>
    <t xml:space="preserve">=t("   Planches, plaques, panneaux, carreaux et articles simil., en plâtre ou en compositions à base de plâtre, non ornementés (sauf revêtus ou renforcés de papier ou de carton uniquement et sauf ouvrages à liaison en plâtre à usage d'isolants thermiques </t>
  </si>
  <si>
    <t>=t("   Ouvrages en plâtre ou en compositions à base de plâtre (sauf plâtre en bandes et attelles en plâtre pour le traitement de fractures des os; cloisons légères ou ouvrages à usage d'isolants thermiques ou sonores ou pour l'absorption du son, à liaison</t>
  </si>
  <si>
    <t>=t("   Amiante [asbeste] travaillé en fibres; mélanges à base d'amiante ou à base d'amiante et de carbonate de magnésium; ouvrages en ces mélanges ou en amiante [p.ex. fils cordes, cordons, tissus, joints], même armés (sauf feuilles en amiante et élastomè</t>
  </si>
  <si>
    <t>=t("   Garnitures de friction [p.ex. plaques, rouleaux, bandes, segments, disques, rondelles, plaquettes], pour embrayages ou autres organes de frottement, à base d'amiante, d'autres substances minérales ou de cellulose, même combinées à des matières text</t>
  </si>
  <si>
    <t>=t("   Briques, dalles, carreaux et pièces céramiques de construction analogues, réfractaires, teneur en poids en alumine -Al2O3-, silice SiO2, ou un mélange ou combinaison de ces matières &gt; 50% (autres que ceux en farines siliceuses fossiles ou en terres</t>
  </si>
  <si>
    <t>=t("   Briques, dalles, carreaux et pièces céramiques de construction analogues, réfractaires (autres qu'avec une teneur en poids en éléments Mg, Ca ou Cr pris isolément ou ensemble et exprimés en MgO, CaO ou Cr2O3 &gt; 50% ou avec une teneur en poids en alu</t>
  </si>
  <si>
    <t>=t("   Cornues, creusets, moufles, busettes, tampons, supports, coupelles, tubes, tuyaux, gaines et autres articles céramiques réfractaires (sauf produits en farines siliceuses fossiles ou en terres siliceuses analogues; briques, dalles, carreaux et pièce</t>
  </si>
  <si>
    <t>=t("   Tuiles, éléments de cheminée, conduits de fumée, ornements architectoniques et autres poteries de bâtiment, en céramique (autres qu'en farines siliceuses fossiles ou en terres siliceuses analogues, sauf pièces céramiques de construction et sauf tuy</t>
  </si>
  <si>
    <t>=t("   Tuyaux, conduits, gouttières et pièces d'assemblage pour tuyaux, pièces d'obturation de tuyaux, raccords de tuyaux et autres accessoires de tuyauterie, en céramique (sauf articles en farines siliceuses fossiles ou en terres siliceuses analogues; ar</t>
  </si>
  <si>
    <t xml:space="preserve">=t("   CARREAUX ET DALLES DE PAVEMENT ET DE REVÊTEMENT, EN CÉRAMIQUE, NON-VERNISSÉS NI ÉMAILLÉS (SAUF ARTICLES EN FARINES SILICEUSES FOSSILES OU EN TERRES SILICEUSES ANALOGUES, ARTICLES CÉRAMIQUES RÉFRACTAIRES, CARREAUX SERVANT DE DESSOUS-DE-PLAT, OBJETS </t>
  </si>
  <si>
    <t>=t("   Carreaux et dalles de pavement ou de revêtement, en céramique, vernissés ou émaillés (sauf articles en farines siliceuses fossiles ou en terres siliceuses analogues, articles céramiques réfractaires, carreaux servant de dessous-de-plat, objets d'or</t>
  </si>
  <si>
    <t>=t("   Appareils et articles en céramique, pour usages chimiques ou autres usages techniques (autres qu'en porcelaine et sauf articles ayant une dureté équivalente à 9 ou davantage sur l'échelle de Mohs, meules, pierres à polir et à aiguiser et autres art</t>
  </si>
  <si>
    <t xml:space="preserve">=t("   ÉVIERS, LAVABOS, COLONNES DE LAVABOS, BAIGNOIRES, BIDETS, CUVETTES D'AISANCE, RÉSERVOIRS DE CHASSE, URINOIRS ET APPAREILS FIXES SIMIL. POUR USAGES SANITAIRES, EN PORCELAINE (SAUF PORTE-SAVON, PORTE-ÉPONGE, PORTE-BROSSE À DENTS, PORTE-SERVIETTES ET </t>
  </si>
  <si>
    <t>=t("   ÉVIERS, LAVABOS, COLONNES DE LAVABOS, BAIGNOIRES, BIDETS, CUVETTES D'AISANCE, RÉSERVOIRS DE CHASSE, URINOIRS ET APPAREILS FIXES SIMIL. POUR USAGES SANITAIRES EN CÉRAMIQUE (AUTRES QU'EN PORCELAINE ET SAUF PORTE-SAVON, PORTE-ÉPONGE, PORTE-BROSSE À DE</t>
  </si>
  <si>
    <t>=t("   Articles pour le service de la table ou de la cuisine en porcelaine (sauf objets d'ornementation; cruchons, cornues et récipients simil. de transport ou d'emballage; moulins à café et moulins à épices avec récipient en céramique et élément de trava</t>
  </si>
  <si>
    <t>=t("   Vaisselle et autres articles de ménage ou d'économie domestique et articles d'hygiène et de toilette en porcelaine (sauf articles pour le service de table ou de cuisine; baignoires, éviers et autres appareils fixes simil.; statuettes et autres obje</t>
  </si>
  <si>
    <t>=t("   Vaisselle, autres articles de ménage ou d'économie domestique et articles d'hygiène ou de toilette en céramique, autres que la porcelaine (sauf baignoires, bidets, éviers et autres appareils fixes simil.; statuettes et autres objets d'ornementation</t>
  </si>
  <si>
    <t>=t("   PLAQUES OU FEUILLES EN GLACE [VERRE FLOTTÉ ET VERRE DOUCI SUR UNE OU DEUX FACES], COLORÉE DANS LA MASSE, OPACIFIÉE, PLAQUÉE [DOUBLÉE] OU SIMPL. DOUCIE, MAIS NON AUTREMENT TRAVAILLÉE (AUTRE QU'ARMÉE ET AUTRE QU'À COUCHE ABSORBANTE, RÉFLÉCHISSANTE OU</t>
  </si>
  <si>
    <t>=t("   PLAQUES OU FEUILLES EN GLACE [VERRE FLOTTÉ ET VERRE DOUCI ET POLI SUR UNE OU DEUX FACES], NON AUTREMENT TRAVAILLÉE (AUTRE QU'ARMÉE, COLORÉE DANS LA MASSE, OPACIFIÉE, PLAQUÉE [DOUBLÉE] OU SIMPL. DOUCIE, OU À COUCHE ABSORBANTE, RÉFLÉCHISSANTE OU NON-</t>
  </si>
  <si>
    <t xml:space="preserve">=t("   PLAQUES, FEUILLES OU PROFILÉS EN VERRE, MÊME À COUCHE ABSORBANTE, RÉFLÉCHISSANTE OU NON-RÉFLÉCHISSANTE, COURBÉ, BISEAUTÉ, GRAVÉ, PERCÉ, ÉMAILLÉ OU AUTREMENT TRAVAILLÉ MAIS NON-ENCADRÉ NI ASSOCIÉ À D'AUTRES MATIÈRES (SAUF VERRE DE SÉCURITÉ, VITRAGE </t>
  </si>
  <si>
    <t>=t("   VERRES TREMPÉS (À L'EXCL. DES VERRES DE LUNETTERIE OU D'HORLOGERIE AINSI QUE DES VERRES DE DIMENSIONS ET FORMATS PERMETTANT LEUR EMPLOI DANS LES AUTOMOBILES, VÉHICULES AÉRIENS, BATEAUX OU AUTRES VÉHICULES) [01/01/1988-31/12/1988: VERRES TREMPES, -D</t>
  </si>
  <si>
    <t>=t("   VERRES FORMÉS DE FEUILLES CONTRECOLLÉES, DE DIMENSIONS ET FORMATS PERMETTANT LEUR EMPLOI DANS LES AUTOMOBILES, VÉHICULES AÉRIENS, BATEAUX OU AUTRES VÉHICULES (À L'EXCL. DES VITRAGES ISOLANTS À PAROIS MULTIPLES) [01/01/1988-31/12/1988: PARE-BRISE FO</t>
  </si>
  <si>
    <t>=t("   VERRE FORMÉ DE FEUILLES CONTRECOLLÉES, DE SÉCURITÉ (AUTRES QUE DES DIMENSIONS ET FORMES PERMETTANT SON EMPLOI DANS LES VÉHICULES AUTOMOBILES, VÉHICULES AÉRIENS, BATEAUX OU AUTRES VÉHICULES ET SAUF VITRAGE ISOLANT À PAROIS MULTIPLES) [01/01/1988-31/</t>
  </si>
  <si>
    <t>=t("   Bonbonnes, bouteilles, flacons, bocaux, pots, emballages tubulaires et autres récipients en verre pour le transport ou l'emballage commercial et bocaux à conserves en verre (sauf ampoules, bouteilles isolantes et récipients dont l'isolation est ass</t>
  </si>
  <si>
    <t>=t("   BONBONNES, BOUTEILLES, FLACONS, BOCAUX, POTS, EMBALLAGES TUBULAIRES ET AUTRES RÉCIPIENTS EN VERRE POUR LE TRANSPORT OU L'EMBALLAGE COMMERCIAL ET BOCAUX A CONSERVES EN VERRE, D'UNE CONTENANCE &gt; 0,33 L MAIS &lt;= 1 L (SAUF AMPOULES, BOUTEILLES ISOLANTES</t>
  </si>
  <si>
    <t>=t("   Objets en vitrocérame, pour le service de la table, pour la cuisine, la toilette, le bureau, la décoration intérieure ou usages simil. (autres que les perles de verre et articles simil. de verroterie du n° 7018 et sauf les plaques de cuisson, les v</t>
  </si>
  <si>
    <t xml:space="preserve">=t("   Objets en verre, pour le service de la table ou la cuisine, d'un coefficient de dilatation linéaire &lt;= 5 x 10-6 par kelvin entre 0°C et 300°C (autres que les articles en vitrocérame ou en cristal de plomb, les perles de verre et articles simil. de </t>
  </si>
  <si>
    <t>=t("   Objets en verre, pour le service de la table ou pour la cuisine (autres qu'à coefficient de dilatation linéaire &lt;= 5 x 10-6 par kelvin entre 0°C et 300°C, sauf articles en vitrocérame ou en cristal au plomb, perles de verre et articles simil. de ve</t>
  </si>
  <si>
    <t>=t("   Objets en cristal au plomb pour la toilette, le bureau, la décoration intérieure et usages simil. (autres que pour le service de la table ou pour la cuisine, autres que les perles en verre et articles simil. de verroterie du n° 7018 et sauf miroirs</t>
  </si>
  <si>
    <t>=t("   Objets en verre pour la toilette, le bureau, la décoration intérieure et usages simil. (autres qu'en cristal au plomb et autres que pour le service de la table ou pour la cuisine, autres que les perles en verre et articles simil. de verroterie du n</t>
  </si>
  <si>
    <t>=t("   Verrerie de signalisation et éléments d'optique en verre mais non travaillés optiquement (autres que le verre d'horlogerie et le verre analogue, les verres de lunetterie commune ou médicale, y.c. les sphères -boules- creuses et les segments pour la</t>
  </si>
  <si>
    <t>=t("   Pavés, briques, carreaux, tuiles et autres articles, en verre pressé ou moulé, même armé, pour le bâtiment ou la construction; verres assemblés en vitraux; verre -multicellulaire- ou verre -mousse- en blocs, panneaux, plaques, coquilles ou formes s</t>
  </si>
  <si>
    <t>=t("   Verrerie de laboratoire, d'hygiène ou de pharmacie, même graduée ou jaugée, en quartz ou en autre silice fondus (sauf récipients de transport ou d'emballage et sauf instruments, appareils et matériel de mesure ou de contrôle, et instruments, appare</t>
  </si>
  <si>
    <t>=t("   Verrerie de laboratoire, d'hygiène ou de pharmacie, même graduée ou jaugée, en verre d'un coefficient de dilatation linéaire &lt;= 5 x 10-6 par kelvin entre 0°C et 300°C (sauf en quartz ou en autre silice fondus, sauf récipients de transport ou d'emba</t>
  </si>
  <si>
    <t>=t("   Verrerie de laboratoire, d'hygiène ou de pharmacie, même graduée ou jaugée (sauf en verre à coefficient de dilatation linéaire &lt;= 5 x 10-6 par kelvin entre 0°C et 300°C, ou en quartz ou autres silices fondus, sauf récipients de transport ou d'embal</t>
  </si>
  <si>
    <t xml:space="preserve">=t("   Perles de verre, imitations de perles fines ou de culture, imitations de pierres gemmes et articles simil. de verroterie et leurs ouvrages (autres que la bijouterie de fantaisie); yeux en verre (autres que de prothèse); statuettes et autres objets </t>
  </si>
  <si>
    <t>=t("   FIBRES DE VERRE, Y.C. LA LAINE DE VERRE, ET OUVRAGES EN CES MATIÈRES (SAUF FIBRES DISCONTINUES; STRATIFILS 'ROVINGS', MÈCHES ET FILS; LAINE DE VERRE COUPÉE; TISSUS, Y.C. LES RUBANS; VOILES, MATS, NAPPES, PANNEAUX ET PRODUITS SIMIL. NON-TISSÉS; LAIN</t>
  </si>
  <si>
    <t>=t("   Articles d'orfèvrerie et leurs parties, en métaux précieux autres que l'argent, même revêtus, plaqués ou doublés de métaux précieux (à l'excl. des articles de bijouterie ou de joaillerie, des articles d'horlogerie, instruments de musique, armes, pu</t>
  </si>
  <si>
    <t>=t("   Articles d'orfèvrerie et leurs parties, en plaqués ou doublés de métaux précieux sur métaux communs (à l'excl. des articles de bijouterie ou de joaillerie, des articles d'horlogerie, instruments de musique, armes, pulvérisateurs de parfum et leur t</t>
  </si>
  <si>
    <t>=t("   DÉCHETS ET DÉBRIS DE FER OU D'ACIER [FERRAILLES] (SAUF DÉCHETS ET DÉBRIS RADIOACTIFS ET DE PILES, DE BATTERIES DE PILES ET D'ACCUMULATEURS ÉLECTRIQUES; SCORIES, LAITIERS ET AUTRES DÉCHETS DE LA FABRICATION DU FER OU DE L'ACIER; MORCEAUX PROVENANT D</t>
  </si>
  <si>
    <t>=t("   PRODUITS LAMINÉS PLATS, EN FER OU EN ACIERS NON-ALLIÉS, D'UNE LARGEUR &gt;= 600 MM, LAMINÉS À CHAUD OU À FROID, PLAQUÉS OU REVÊTUS (À L'EXCL. DES PRODUITS ÉTAMÉS, PLOMBÉS, ZINGUÉS, PEINTS, VERNIS OU REVÊTUS D'ALUMINIUM, DE MATIÈRES PLASTIQUES OU D'OXY</t>
  </si>
  <si>
    <t>=t("   FIL MACHINE EN FER OU ACIERS NON-ALLIÉS, ENROULÉ EN COURONNES IRRÉGULIÈRES (AUTRE QUE DE SECTION CIRCULAIRE DE DIAMÈTRE &lt; 14 MM, AUTRE QUE FIL MACHINE EN ACIERS DE DÉCOLLETAGE, OU AVEC INDENTATIONS, BOURRELETS, CREUX OU RELIEFS OBTENUS LORS DU LAMI</t>
  </si>
  <si>
    <t>=t("   BARRES EN FER OU EN ACIERS NON-ALLIÉS, SIMPL. LAMINÉES OU FILÉES À CHAUD, DE SECTION TRANSVERSALE RECTANGULAIRE (À L'EXCL. DES BARRES EN ACIERS DE DÉCOLLETAGE AINSI QUE DES BARRES COMPORTANT DES INDENTATIONS, BOURRELETS, CREUX OU RELIEFS OBTENUS AU</t>
  </si>
  <si>
    <t>=t("   BARRES EN FER OU EN ACIERS NON-ALLIÉS, SIMPL. LAMINÉES OU FILÉES À CHAUD (À L'EXCL. DE SECTION TRANSVERSALE RECTANGULAIRE, DES BARRES COMPORTANT DES INDENTATIONS, BOURRELETS, CREUX OU RELIEFS OBTENUS AU COURS DU LAMINAGE OU AYANT SUBI UNE TORSION A</t>
  </si>
  <si>
    <t>=t("   Profilés en fer ou en aciers non alliés, obtenus ou parachevés à froid et ayant subi certaines ouvraisons plus poussées (autres que obtenus à partir de produits laminés plats) ou simplement forgés ou forgés ou autrement obtenus à chaud et ayant sub</t>
  </si>
  <si>
    <t xml:space="preserve">=t("   Traverses, contre-rails et crémaillères, coussinets, coins, plaques de serrage, plaques et barres d'écartement et autres éléments de voies ferrées spécialements conçus pour la pose, le jointement ou la fixation des rails, en fonte, fer ou acier (à </t>
  </si>
  <si>
    <t>=t("   TUBES, TUYAUX ET PROFILÉS CREUX SANS SOUDURE, DE SECTION CIRCULAIRE, EN FER (À L'EXCL. DE LA FONTE) OU ACIERS NON-ALLIÉS, ÉTIRÉS OU LAMINÉS À FROID (SAUF TUBES ET TUYAUX DES TYPES UTILISÉS POUR LES OLÉODUCS OU GAZODUCS OU POUR L'EXTRACTION DU PÉTRO</t>
  </si>
  <si>
    <t>=t("   TUBES, TUYAUX ET PROFILÉS CREUX, SANS SOUDURE, DE SECTION CIRCULAIRE, EN FER (À L'EXCL. DE LA FONTE) OU EN ACIERS NON-ALLIÉS, NON-ÉTIRÉS OU LAMINÉS À FROID (À L'EXCL. DES TUBES, TUYAUX ET PROFILÉS CREUX DES TYPES UTILISÉS POUR LES OLÉODUCS ET LES G</t>
  </si>
  <si>
    <t>=t("   TUBES, TUYAUX ET PROFILÉS CREUX SOUDÉS, DE SECTION CIRCULAIRE, EN FER OU ACIERS NON-ALLIÉS (SAUF TUBES DE SECTIONS INTÉRIEURE ET EXTÉRIEURE CIRCULAIRES ET DE DIAMÈTRE EXTÉRIEUR &gt; 406,4 MM ET SAUF TUBES DES TYPES UTILISÉS POUR LES OLÉODUCS OU LES GA</t>
  </si>
  <si>
    <t>=t("   Tubes, tuyaux et profilés creux soudés, de section circulaire, en aciers inoxydables (autres que tubes à sections intérieure et extérieure circulaires et à diamètre extérieur &gt; 406,4 mm et sauf tubes des types utilisés pour les oléoducs et les gazo</t>
  </si>
  <si>
    <t>=t("   Tubes, tuyaux et profilés creux soudés, de section circulaire, en aciers alliés autres qu'inoxydables (autres que tubes de sections intérieure et extérieure circulaires et d'un diamètre extérieur &gt; 406,4 mm et sauf tubes des types utilisés pour les</t>
  </si>
  <si>
    <t>=t("   Tubes, tuyaux et profilés creux soudés, de section autre que circulaire, en fer ou en acier (autres que tubes à sections intérieure et extérieure circulaires et d'un diamètre extérieur &gt; 406,4 mm et sauf tubes des types utilisés pour les oléoducs e</t>
  </si>
  <si>
    <t>=t("   Constructions et parties de constructions, en fonte, fer ou acier, n.d.a. (à l'excl. des ponts et éléments de ponts, tours et pylônes, portes et fenêtres et leurs cadres, chambranles et seuils, et à l'excl. du matériel d'échafaudage, de coffrage et</t>
  </si>
  <si>
    <t>=t("   Réservoirs, foudres, cuves et récipients simil. en fonte, fer ou acier, pour toutes matières (à l'excl. des gaz comprimés ou liquéfiés), d'une contenance &gt; 300 l, sans dispositifs mécaniques ou thermiques, même avec revêtement intérieur ou calorifu</t>
  </si>
  <si>
    <t xml:space="preserve">=t("   Toiles métalliques tissés, y.c. les toiles continues ou sans fin, en fils d'acier inoxydable (à l'excl. des toiles en fils métalliques des types utilisés pour les vêtements, aménagements intérieurs et usages simil. et sauf toiles continues ou sans </t>
  </si>
  <si>
    <t>=t("   Toiles métalliques tissés, y.c. les toiles continues ou sans fin, en fils de fer ou d'aciers autres qu'inoxydables (à l'excl. des toiles en fils métalliques des types utilisés pour vêtements, aménagements intérieurs et usages simil. et sauf les toi</t>
  </si>
  <si>
    <t>=t("   Chaînes et chaînettes en fonte, fer ou acier (sauf chaînes à maillons articulés, antidérapantes, à maillons à étais, à maillons soudés, et leurs parties; chaînes et chaînettes de montres, d'horloges ou de bijouterie; chaînes dentées et à scie; chen</t>
  </si>
  <si>
    <t>=t("   Vis et boulons filetés, en fonte, fer ou acier, même avec leurs écrous ou rondelles (à l'excl. des tire-fond et autres vis à bois, crochets et pitons à pas de vis, vis autotaraudeuses, clous taraudeurs ainsi que des chevilles vissées, tampons et ar</t>
  </si>
  <si>
    <t>=t("   RESSORTS ET LAMES DE RESSORTS EN FER OU EN ACIER, Y.C. LES RESSORTS SPIRAUX PLATS (À L'EXCL. DES RESSORTS EN HÉLICE, RESSORTS SPIRAUX, RESSORTS À LAMES ET LEURS LAMES, RESSORTS DE MONTRES, RONDELLES-RESSORTS, RONDELLES ÉLASTIQUES ET SAUF RESSORTS-A</t>
  </si>
  <si>
    <t>=t("   Appareils de cuisson tels que foyers de cuisson, barbecues, grilloirs, réchauds et cuisinières, ainsi que chauffe-plats, à usage domestique, en fonte, fer ou acier, à combustibles gazeux ou à gaz et autres combustibles (à l'excl. des appareils dest</t>
  </si>
  <si>
    <t>=t("   Appareils de cuisson tels que foyers de cuisson, barbecues, grilloirs, réchauds et cuisinières, ainsi que chauffe-plats, à usage domestique, en fonte, fer ou acier, à combustibles liquides (à l'excl. des appareils destinés à la cuisine à grande éch</t>
  </si>
  <si>
    <t>=t("   Poêles, chaudières à foyer, foyers de lessiveuses, chaudières avec foyer pour la lessive, braseros et appareils ménagers simil., en fonte, fer ou acier, à combustibles gazeux ou à gaz et autres combustibles (à l'excl. des appareils de cuisson, chau</t>
  </si>
  <si>
    <t xml:space="preserve">=t("   Articles de ménage ou d'économie domestique et leurs parties, en fonte non émaillée (à l'excl. des bidons, boîtes et récipients simil. du n° 7310; poubelles; gaufriers et autres articles ayant le caractère d'outils; cuillers, louches, fourchettes, </t>
  </si>
  <si>
    <t>=t("   Articles de ménage ou d'économie domestique et leurs parties, en fonte émaillée (à l'excl. des bidons, boîtes et récipients simil. du n° 7310; poubelles; pelles et autres articles à caractère d'outils; cuillers, louches, fourchettes, écumoires, pel</t>
  </si>
  <si>
    <t>=t("   Articles de ménage ou d'économie domestique et leurs parties, en aciers inoxydables (à l'excl. des bidons, boîtes et récipients simil. du n° 7310; poubelles; pelles, tire-bouchons et autres articles à caractère d'outils; coutellerie et cuillers, lo</t>
  </si>
  <si>
    <t>=t("   Articles de ménage ou d'économie domestique et leurs parties, en fer ou en aciers autres qu'inoxydables, émaillés (à l'excl. de la fonte; des bidons, boîtes et récipients simil. du n° 7310; poubelles; pelles et autres articles à caractère d'outils;</t>
  </si>
  <si>
    <t>=t("   Articles de ménage ou d'économie domestique et leurs parties, en fer ou aciers autres qu'inoxydables (sauf fonte et articles émaillés; bidons, boîtes et récipients simil. du n° 7310; poubelles; pelles, tire-bouchons et autres articles à caractère d</t>
  </si>
  <si>
    <t>=t("   Articles d'hygiène ou de toilette et leurs parties, en fonte, fer ou acier (à l'excl. des bidons, boîtes et récipients simil. du n° 7310, des petites armoires suspendues à pharmacie ou de toilette et autres meubles du chapitre 94, des éviers et lav</t>
  </si>
  <si>
    <t>=t("   FILS EN ALLIAGES DE CUIVRE (À L'EXCL. DES PRODUITS EN ALLIAGES À BASE DE CUIVRE-ZINC [LAITON], DE CUIVRE-NICKEL [CUPRONICKEL] OU DE CUIVRE-NICKEL-ZINC [MAILLECHORT]) [01/01/1988-31/12/1994: FILS EN ALLIAGES DE CUIVRE (SAUF EN ALLIAGES A BASE DE CUI</t>
  </si>
  <si>
    <t>=t("   FEUILLES ET BANDES MINCES EN CUIVRE AFFINÉ, SUR SUPPORT, ÉPAISSEUR, SUPPORT NON COMPRIS, &lt;= 0,15 MM (SAUF FEUILLES POUR LE MARQUAGE AU FER DU N° 3212, FILS GUIPÉS DE MÉTAL ET FILS MÉTALLISÉS ET SAUF FEUILLES TRAITÉES COMME DÉCORATIONS POUR SAPINS D</t>
  </si>
  <si>
    <t>=t("   ARTICLES DE MÉNAGE OU D'ÉCONOMIE DOMESTIQUE ET LEURS PARTIES, EN CUIVRE (SAUF ÉPONGES, TORCHONS, GANTS ET ARTICLES SIMIL.; BIDONS, BOÎTES ET RÉCIPIENTS SIMIL. DU N° 7419; ARTICLES À CARACTÈRE D'OUTILS; COUTELLERIE, CUILLERS, FOURCHETTES, ETC.; OBJE</t>
  </si>
  <si>
    <t>=t("   Déchets et débris d'aluminium (sauf scories, mâchefer, etc., produits par la sidérurgie et contenant de l'aluminium récupérable sous forme de silicates, les déchets lingotés et autres formes brutes simil. en déchets ou débris d'aluminium fondus, et</t>
  </si>
  <si>
    <t>=t("   FILS EN ALUMINIUM NON ALLIÉ, DONT LA PLUS GRANDE DIMENSION DE LA SECTION TRANSVERSALE EST &lt;= 7 MM (À L'EXCL. DES CORDES HARMONIQUES, DES FILS ISOLÉS POUR L'ÉLECTRICITÉ AINSI QUE DES TORONS, CÂBLES, TRESSES ET ARTICLES SIMIL. DU N° 7614) [01/01/1988</t>
  </si>
  <si>
    <t>=t("   FILS EN ALLIAGES D'ALUMINIUM, DONT LA PLUS GRANDE DIMENSION DE LA SECTION TRANSVERSALE EST &lt;= 7 MM (À L'EXCL. DES CORDES HARMONIQUES, DES FILS ISOLÉS POUR L'ÉLECTRICITÉ AINSI QUE DES TORONS, CÂBLES, TRESSES ET ARTICLES SIMIL. DU N° 7614) [01/01/198</t>
  </si>
  <si>
    <t>=t("   Réservoirs, foudres, cuves et récipients simil. en aluminium, pour toutes matières, à l'excl. des gaz comprimés ou liquéfiés, d'une contenance &gt; 300 l (sans dispositifs mécaniques ou thermiques et à l'excl. des conteneurs spécialement conçus et équ</t>
  </si>
  <si>
    <t>=t("   TORONS, CÂBLES, TRESSES ET ARTICLES SIMIL., EN ALUMINIUM (À L'EXCL. DES PRODUITS ISOLÉS POUR L'ÉLECTRICITÉ ET DES ARTICLES AVEC ÂME EN ACIER) [01/01/1988-31/12/1994: TORONS, CABLES, TRESSES ET SIMILAIRES, EN ALUMINIUM (SANS AME EN ACIER ET SAUF PRO</t>
  </si>
  <si>
    <t>=t("   Articles de ménage, d'économie domestique, et leurs parties, en aluminium (sauf éponges, torchons, gants et articles simil.; bidons, boîtes et récipients simil. du n° 7612; articles ayant le caractère d'outils, cuillers, louches, fourchettes et art</t>
  </si>
  <si>
    <t xml:space="preserve">=t("   Pointes, clous, crampons appointés, vis, boulons, écrous, crochets à pas de vis, rivets, goupilles, chevilles, clavettes, rondelles et simil., en aluminium(sauf agrafes présentées en barrettes et sauf chevilles vissées, tampons et articles simil., </t>
  </si>
  <si>
    <t>=t("   Faux et faucilles, couteaux à foin ou à paille et autres outils agricoles, horticoles ou forestiers, à main, avec partie travaillante en métaux communs (à l'excl. des bêches, pelles, fourches, pioches, pics, houes, binettes, râteaux, racloirs, hach</t>
  </si>
  <si>
    <t>=t("   LAMES DE SCIES, Y.C. LES LAMES DE SCIES NON-DENTÉES, EN MÉTAUX COMMUNS (À L'EXCL. DES LAMES DE SCIES À RUBAN, DES LAMES DE SCIES CIRCULAIRES, DES LAMES DE FRAISES-SCIES, DES CHAÎNES DE SCIE DITES -COUPANTES- ET SAUF LAMES DE SCIES DROITES POUR LE T</t>
  </si>
  <si>
    <t>=t("   Couteaux et lames tranchantes, en métaux communs, pour machines ou appareils mécaniques (sauf pour le travail du métal ou du bois, sauf pour appareils de cuisine ou pour machines de l'industrie alimentaire, et sauf pour machines agricoles, horticol</t>
  </si>
  <si>
    <t xml:space="preserve">=t("   APPAREILS MÉCANIQUES ACTIONNÉS À LA MAIN, EN MÉTAUX COMMUNS, D'UN POIDS &lt;= 10 KG, UTILISÉS POUR PRÉPARER, CONDITIONNER OU SERVIR LES ALIMENTS OU LES BOISSONS [01/01/1988-31/12/1994: APPAREILS MECANIQUES ACTIONNES A LA MAIN, EN METAUX COMMUNS, D'UN </t>
  </si>
  <si>
    <t>=t("   Couteaux à lame fixe en métaux communs (sauf couteaux à foin et à paille, coutelas et machettes, couteaux et lames tranchantes pour machines ou appareils mécaniques, couteaux à poisson, couteaux à beurre, petites et grandes lames de rasoirs et autr</t>
  </si>
  <si>
    <t>=t("   Cuillers, fourchettes, louches, écumoires, pelles à tartes, couteaux spéciaux à poisson ou à beurre, pinces à sucre et articles simil., en métaux communs, ni argentés, ni dorés, ni platinés (sauf en assortiments et sauf cisailles à volaille et à ho</t>
  </si>
  <si>
    <t>=t("   GARNITURES, FERRURES ET ARTICLES SIMIL. EN MÉTAUX COMMUNS (SAUF SERRURES ET VERROUS DE S¹RETÉ À CLEF, FERMOIRS ET MONTURES-FERMOIRS À SERRURE, CHARNIÈRES, ROULETTES, GARNITURES, FERRURES ET SIMIL. POUR BÂTIMENTS AINSI QUE GARNITURES, FERRURES ET AR</t>
  </si>
  <si>
    <t>=t("   Attache-lettres, coins de lettres, trombones, onglets de signalisation, et matériel de bureau similaire en métaux communs, y.c. les parties des articles du n° 8305 (à l'excl. des mécanismes complets pour reliure de feuillets mobiles ou pour classeu</t>
  </si>
  <si>
    <t xml:space="preserve">=t("   Plaques indicatrices, plaques-enseignes, plaques-adresses et plaques simil., chiffres, lettres et enseignes diverses, en métaux communs, y.c. les panneaux de signalisation routière (sauf les enseignes et plaques indicatrices lumineuses du n° 9405, </t>
  </si>
  <si>
    <t>=t("   Baguettes enrobées et fils fourrés en métaux communs, pour brasage ou soudage à la flamme (à l'excl. des fils et baguettes à âme décapante chez lesquels le métal de brasage, décapants et fondants non compris, contient &gt;= 2% en poids d'un métal préc</t>
  </si>
  <si>
    <t xml:space="preserve">=t("   Fils, baguettes, tubes, plaques, électrodes et articles simil. en métaux communs ou en carbures métalliques, enrobés ou fourrés de décapants ou de fondants, pour brasage, soudage ou dépôt de métal ou de carbures métalliques, n.d.a., ainsi que fils </t>
  </si>
  <si>
    <t xml:space="preserve">=t("   Générateurs de gaz à l'air ou de gaz à l'eau, avec ou sans leurs épurateurs; générateurs d'acétylène et générateurs simil. de gaz, par procédé à l'eau, avec ou sans leurs épurateurs (sauf fours à coke, générateurs de gaz par procédé électrolytique </t>
  </si>
  <si>
    <t>=t("   MOTEURS HORS-BORD À ALLUMAGE PAR ÉTINCELLES "MOTEURS À EXPLOSION" POUR LA PROPULSION DE BATEAUX")</t>
  </si>
  <si>
    <t>=t("   MOTEURS À PISTON ALTERNATIF OU ROTATIF, À ALLUMAGE PAR ÉTINCELLES "MOTEURS À EXPLOSION", POUR BATEAUX (SAUF MOTEURS HORS-BORD)")</t>
  </si>
  <si>
    <t>=t("   MOTEURS À PISTON ALTERNATIF À ALLUMAGE PAR ÉTINCELLES "MOTEURS À EXPLOSION", DES TYPES UTILISÉS POUR LA PROPULSION DES VÉHICULES DU CHAPITRE 87, CYLINDRÉE &gt; 250 CM³ MAIS &lt;= 1000 CM³")</t>
  </si>
  <si>
    <t>=t("   MOTEURS À PISTON ALTERNATIF À ALLUMAGE PAR ÉTINCELLES "MOTEURS À EXPLOSION", DES TYPES UTILISÉS POUR LA PROPULSION DES VÉHICULES DU CHAPITRE 87, CYLINDRÉE &gt; 1000 CM³"")</t>
  </si>
  <si>
    <t>=t("   MOTEURS À PISTON ALTERNATIF OU ROTATIF, À ALLUMAGE PAR ÉTINCELLES "MOTEURS À EXPLOSION" (AUTRES QUE MOTEURS POUR AÉRONEFS, MOTEURS POUR LA PROPULSION DE BATEAUX ET AUTRES QUE LES MOTEURS À PISTON ALTERNATIF DES TYPES UTILISÉS POUR LA PROPULSION DES</t>
  </si>
  <si>
    <t>=t("   MOTEURS À PISTON, À ALLUMAGE PAR COMPRESSION "MOTEURS DIESEL OU SEMI-DIESEL", POUR LA PROPULSION DES BATEAUX"")</t>
  </si>
  <si>
    <t>=t("   MOTEURS À PISTON, À ALLUMAGE PAR COMPRESSION "MOTEURS DIESEL OU SEMI-DIESEL", DES TYPES UTILISÉS POUR LA PROPULSION DES VÉHICULES DU CHAPITRE 87"")</t>
  </si>
  <si>
    <t>=t("   MOTEURS À PISTON, À ALLUMAGE PAR COMPRESSION "MOTEURS DIESEL OU SEMI-DIESEL" (AUTRES QUE MOTEURS DE PROPULSION POUR BATEAUX ET SAUF MOTEURS DES TYPES UTILISÉS POUR LA PROPULSION DES VÉHICULES DU CHAPITRE 87)")</t>
  </si>
  <si>
    <t>=t("   POMPES POUR LIQUIDES VOLUMÉTRIQUES ALTERNATIVES, À MOTEUR (SAUF POMPES AVEC DISPOSITIF MESUREUR OU CONÇUES POUR EN COMPORTER DU N° 8413.11 OU 8413.19, POMPES À CARBURANT, À HUILE OU À LIQUIDE DE REFROIDISSEMENT POUR MOTEURS À ALLUMAGE PAR ÉTINCELLE</t>
  </si>
  <si>
    <t>=t("   Pompes pour liquides volumétriques rotatives, à moteur (sauf pompes à dispositif mesureur ou conçues pour en comporter du n° 8413.11 ou 8413.19, sauf pompes à carburant, à huile ou à liquide de refroidissement pour moteurs à allumage par étincelles</t>
  </si>
  <si>
    <t>=t("   Pompes pour liquides centrifuges, à moteur (sauf pompes à dispositif mesureur ou conçues pour en comporter du n° 8413.11 ou 8413.19, pompes à carburant, à huile ou à liquide de refroidissement pour moteurs à allumage par étincelles ou par compressi</t>
  </si>
  <si>
    <t xml:space="preserve">=t("   Pompes pour liquides à moteur (sauf pompes à dispositif mesureur ou conçues pour en comporter du n° 8413.11 ou 8413.19, pompes à carburant, à huile ou à liquide de refroidissement pour moteurs à allumage par étincelles ou par compression, pompes à </t>
  </si>
  <si>
    <t>=t("   Pompes à air, compresseurs d'air ou d'autres gaz, hottes aspirantes à extraction ou à recyclage par filtre, à ventilateur incorporé, plus grand côté horizontal &gt; 120 cm (autres que pompes à vide, pompes à air à main ou à pied, compresseurs des type</t>
  </si>
  <si>
    <t>=t("   MACHINES ET APPAREILS POUR LE CONDITIONNEMENT DE L'AIR, FORMANT UN SEUL CORPS OU DU TYPE "SPLIT-SYSTEM" [SYSTÈMES À ÉLÉMENTS SÉPARÉS], DU TYPE MURAL OU POUR FENÊTRES"")</t>
  </si>
  <si>
    <t>=t("   Machines et appareils pour le conditionnement de l'air, avec dispositif de réfrigération et soupape d'inversion du cycle thermique [pompes à chaleur réversibles] (autres que machines et appareils du type de ceux utilisés pour le confort des personn</t>
  </si>
  <si>
    <t>=t("   Machines et appareils pour le conditionnement de l'air, avec dispositif de réfrigération mais sans soupape d'inversion du cycle thermique (autres que machines et appareils du type de ceux utilisés pour le confort des personnes dans les véhicules au</t>
  </si>
  <si>
    <t>=t("   Fours industriels ou de laboratoire non-électriques, y.c. les incinérateurs (sauf fours pour le grillage, la fusion ou autres traitements thermiques de minerais, pyrite ou métaux, fours de boulangerie, de pâtisserie ou de biscuiterie et sauf étuves</t>
  </si>
  <si>
    <t>=t("   MEUBLES [COFFRES, ARMOIRES, VITRINES, COMPTOIRS ET SIMIL.] POUR LA CONSERVATION ET L'EXPOSITION DE PRODUITS, INCORPORANT UN ÉQUIPEMENT POUR LA PRODUCTION DU FROID (SAUF RÉFRIGÉRATEURS ET CONGÉLATEURS-CONSERVATEURS COMBINÉS, À PORTES EXTÉRIEURES SÉP</t>
  </si>
  <si>
    <t xml:space="preserve">=t("   Appareils et dispositifs, même chauffés électriquement, pour le traitement de matières par des opérations impliquant un changement de température telles que le chauffage, la cuisson, la torréfaction, la stérilisation, la pasteurisation, l'étuvage, </t>
  </si>
  <si>
    <t>=t("   Machines et appareils à empaqueter ou à emballer les marchandises, y.c. les machines et appareils à emballer sous film thermorétractable (à l'excl. des machines et appareils à remplir, fermer, boucher ou étiqueter les bouteilles, boîtes, sacs ou au</t>
  </si>
  <si>
    <t>=t("   Appareils et instruments de pesage, portée &lt;= 30 kg (à l'excl. des balances sensibles à un poids de 50 mg ou moins, des pèse-personnes, balances de ménage, balances à pesage continu sur transporteurs et sauf balances et bascules ensacheuses ou dose</t>
  </si>
  <si>
    <t>=t("   PISTOLETS AÉROGRAPHES ET APPAREILS SIMIL. (À L'EXCL. DES MACHINES ET APPAREILS ÉLECTRIQUES POUR LA PROJECTION À CHAUD DE MÉTAUX OU DE CARBURES MÉTALLIQUES FRITTÉS [N¦ 8515] AINSI QUE DES MACHINES ET APPAREILS À JET DE SABLE, VAPEUR, ETC.) [01/01/19</t>
  </si>
  <si>
    <t>=t("   Machines et appareils à jet de sable, à jet de vapeur et appareils à jet simil., y.c. les appareils de nettoyage à eau à moteur incorporé -appareils de nettoyage à haute pression- (à l'excl. des machines et appareils pour le nettoyage de contenants</t>
  </si>
  <si>
    <t>=t("   Parties d'extincteurs, de pistolets aérographes et appareils simil., de machines et appareils à jet de sable, à jet de vapeur et appareils à jet simil. ainsi que de machines et appareils mécaniques à projeter, disperser ou pulvériser des matières l</t>
  </si>
  <si>
    <t xml:space="preserve">=t("   Bigues; grues à câbles et blondins et autres grues (sauf ponts roulants, grues portiques, grues sur portiques, portiques de déchargement, ponts-grues, chariots-cavaliers, grues à tour, chariot-grues, grues autopropulsées et grues conçues pour être </t>
  </si>
  <si>
    <t>=t("   Machines, appareils et engins agricoles, sylvicole ou horticoles pour la préparation ou le travail du sol ou pour la culture, rouleaux pour pelouses ou terrains de sport (à l'excl. des pulvérisateurs, appareils d'arrosage et poudreuses, charrues, h</t>
  </si>
  <si>
    <t xml:space="preserve">=t("   Machines et appareils pour la récolte de produits agricoles (à l'excl. des faucheuses, machines et appareils de fenaison, presses à paille ou à fourrage, y.c. les presses ramasseuses, moissonneuses-batteuses et autres machines et appareils pour le </t>
  </si>
  <si>
    <t>=t("   Presses et pressoirs, fouloirs et machines et appareils simil., pour la fabrication du vin, du cidre, des jus de fruits ou de boissons simil. (à l'excl. des machines, appareils et dispositifs pour le traitement de ces boissons, y.c. les centrifugeu</t>
  </si>
  <si>
    <t>=t("   Machines et appareils de minoterie ou pour traitement des céréales ou légumes secs (autres que les machines et appareils du type agricole, les installations de traitement thermique, essoreuses centrifuges, filtres à air ainsi que machines et appare</t>
  </si>
  <si>
    <t>=t("   Machines et appareils pour la fabrication industrielle des produits de boulangerie, pâtisserie ou biscuiterie ou pour la fabrication industrielle des pâtes alimentaires (sauf fours, appareils de séchage des pâtes alimentaires et machines à rouler l</t>
  </si>
  <si>
    <t>=t("   Machines et appareils pour la préparation ou le traitement industriels des fruits ou des légumes (sauf appareils de cuisson et autres appareils thermiques ainsi que les installations de refroidissement et de congélation, et sauf les machines à trie</t>
  </si>
  <si>
    <t xml:space="preserve">=t("   Machines et appareils pour le brochage ou la reliure, y.c. les machines à coudre les feuillets (à l'excl. des machines et appareils pour le travail de la pâte à papier, du papier et du carton, y.c. les coupeuses, des presses polyvalentes ainsi que </t>
  </si>
  <si>
    <t>=t("   Machines, appareils et matériel pour la préparation ou la fabrication des clichés, planches, cylindres ou autres organes imprimants (sauf machines-outils à travailler par enlèvement de toute matière, à poste fixe et à stations multiples, à effectue</t>
  </si>
  <si>
    <t>=t("   MACHINES ET APPAREILS SERVANT À L'IMPRESSION AU MOYEN DE PLANCHES, CYLINDRES ET AUTRES ORGANES IMPRIMANTS DU N° 8442 (À L'EXCL. DES DUPLICATEURS HECTOGRAPHIQUES OU À STENCILS, DES MACHINES À IMPRIMER LES ADRESSES ET AUTRES MACHINES DE BUREAU À IMPR</t>
  </si>
  <si>
    <t>=t("   Machines et appareils servant à l'impression au moyen de caractères d'imprimerie, clichés, planches, cylindres et autres organes imprimants du n° 8442 (à l'excl. des duplicateurs hectographiques ou à stencils, des machines à imprimer les adresses e</t>
  </si>
  <si>
    <t>=t("   Machines et appareils pour la fabrication des fils textiles, machines à préparer les fils textiles, pour utilisation sur les machines des 8446 ou 8447 (autres que les machines pour le filage -extrusion-, l'étirage, la texturation ou le tranchage de</t>
  </si>
  <si>
    <t>=t("   Machines et appareils pour l'apprêt et le finissage, l'enduction ou l'imprégnation des fils, tissus ou autres ouvrages en matières textiles, et machines pour le revêtement des tissus ou autres supports utilisés pour la fabrication de couvre-parquet</t>
  </si>
  <si>
    <t>=t("   Parties de machines et appareils pour le lavage, nettoyage, essorage, séchage, repassage, pressage, blanchiment, teinture, apprêt, finissage, enduction ou imprégnation de fils, tissus ou autres ouvrages en matières textiles, ou pour le revêtement d</t>
  </si>
  <si>
    <t>=t("   Machines-outils travaillant par enlèvement de toute matière et opérant par procédés électrochimiques, par faisceaux d'électrons, par faisceaux ioniques ou par jet de plasma (à l'excl. des appareils à braser et à souder, des appareils pour essais de</t>
  </si>
  <si>
    <t>=t("   TOURS, Y.C. LES CENTRES DE TOURNAGE, TRAVAILLANT PAR ENLÈVEMENT DE MÉTAL (À L'EXCL. DES TOURS HORIZONTAUX ET DES TOURS À COMMANDE NUMÉRIQUE) [01/01/1988-31/12/1994: TOURS TRAVAILLANT PAR ENLEVEMENT DE METAL (AUTRES QU'A COMMANDE NUMÉRIQUE ET AUTRES</t>
  </si>
  <si>
    <t>=t("   MACHINES À PERCER, POUR LE TRAVAIL DES MÉTAUX (À L'EXCL. DES MACHINES À COMMANDE NUMÉRIQUE, DES UNITÉS D'USINAGE À GLISSIÈRES ET DES MACHINES MUES À LA MAIN) [01/01/1988-31/12/1994: MACHINES A PERCER LES METAUX PAR ENLEVEMENT DE MATIÈRES (AUTRES QU</t>
  </si>
  <si>
    <t>=t("   Machines à ébarber, meuler, polir ou à faire d'autres opérations de finissage, pour le travail des métaux (autres que les machines à rectifier dont le positionnement dans un des axes peut être réglé à au moins 0,01 mm près, autres qu'à commande num</t>
  </si>
  <si>
    <t xml:space="preserve">=t("   Machines-outils pour le travail des métaux, des carbures métalliques frittés ou des cermets, sans enlèvement de matière (sauf machines à forger, à rouler, à cintrer, dresser ou planer; machines à cisailler, à poinçonner ou à gruger; presses; bancs </t>
  </si>
  <si>
    <t>=t("   Machines-outils pour le travail de la pierre, des produits céramiques, du béton, de l'amiante-ciment ou de matières minérales simil., ou pour le travail à froid du verre (autres qu'à scier, à meuler ou à polir et autres que les machines pour emploi</t>
  </si>
  <si>
    <t xml:space="preserve">=t("   Machines-outils pour le travail du bois, des matières plastiques dures, etc. (sauf outillage à main, machines pouvant effectuer différents types d'opérations d'usinage sans changement d'outils entre les opérations; machines à scier, à dégauchir ou </t>
  </si>
  <si>
    <t>=t("   Machines à écrire automatiques (à l'excl. des machines pour le traitement des textes, des machines automatiques de traitement de l'information et de leurs unités du n° 8471, ainsi que des imprimantes au laser, des imprimantes thermiques et des impr</t>
  </si>
  <si>
    <t>=t("   Calculatrices électroniques pouvant fonctionner sans source d'énergie électrique extérieure et machines de poche [dimensions &lt;= 170 mm x 100 mm x 45 mm] comportant une fonction de calcul permettant d'enregistrer, de reproduire et d'afficher des inf</t>
  </si>
  <si>
    <t>=t("   Machines automatiques de traitement de l'information numériques, comportant, sous une même enveloppe, au moins une unité centrale de traitement et, qu'elles soient ou non combinées, une unité d'entrée et une unité de sortie (sauf portatives d'un po</t>
  </si>
  <si>
    <t>=t("   Machines automatiques de traitement de l'information numériques se présentant sous forme de systèmes [comportant au moins une unité centrale de traitement, une unité d'entrée et une unité de sortie] (sauf portatives d'un poids &lt;= 10 kg et à l'excl.</t>
  </si>
  <si>
    <t>=t("   Unités de traitement numériques pour machines automatiques de traitement de l'information, pouvant comporter, sous une même enveloppe, un ou deux des types d'unités suivants: unité de mémoire, unité d'entrée et unité de sortie (autres que celles du</t>
  </si>
  <si>
    <t>=t("   Machines à agglomérer, former ou mouler les combustibles minéraux solides, les pâtes céramiques, le ciment, le plâtre ou autres matières minérales en poudre ou pâte; machines à former les moules de fonderie en sable (sauf pour mouler ou couler le v</t>
  </si>
  <si>
    <t>=t("   Machines et appareils à mouler ou à former pour le travail du caoutchouc ou des matières plastiques ou pour la fabrication de produits en ces matières (à l'excl. des machines à mouler par injection, des extrudeuses, machines à mouler par soufflage,</t>
  </si>
  <si>
    <t>=t("   MACHINES ET APPAREILS POUR L'EXTRACTION OU LA PRÉPARATION DES HUILES OU GRAISSES VÉGÉTALES FIXES OU ANIMALES (À L'EXCL. DES CENTRIFUGEUSES, DES APPAREILS POUR LA FILTRATION ET DES APPAREILS DE CHAUFFAGE) [01/01/1988-31/12/1994: MACHINES ET APPAREIL</t>
  </si>
  <si>
    <t>=t("   Machines et appareils pour le traitement des métaux, y.c. les bobineuses pour enroulements électriques, n.d.a. (à l'excl. des robots industriels, des fours, appareils de séchage, pistolets aérographes et appareils simil., appareils de nettoyage à h</t>
  </si>
  <si>
    <t>=t("   MOULES POUR LE CAOUTCHOUC OU LES MATIÈRES PLASTIQUES (À L'EXCL. DES ARTICLES POUR LE MOULAGE PAR INJECTION OU PAR COMPRESSION) [01/01/1988-31/12/1994: MOULES POUR LE CAOUTCHOUC OU LES MATIÈRES PLASTIQUES, POUR MOULAGE AUTRE QUE PAR INJECTION OU COM</t>
  </si>
  <si>
    <t>=t("   Roulements à galets et autres roulements, y.c. les roulements combinés (à l'excl. des roulements à billes, roulements à rouleaux coniques, y.c. les assemblages de cônes et rouleaux coniques, roulements à rouleaux en forme de tonneau, roulements à a</t>
  </si>
  <si>
    <t>=t("   Engrenages et roues de friction de machines (à l'excl. des  roues dentées et autres organes élémentaires de transmission présentés séparément); broches filetées à billes ou à rouleaux; réducteurs, multiplicateurs et variateurs de vitesse, y. c. les</t>
  </si>
  <si>
    <t>=t("   Groupes électrogènes à moteur à piston à allumage par compression "moteurs diesel ou semi-diesel", puissance &lt;= 75 kVA")</t>
  </si>
  <si>
    <t>=t("   GROUPES ÉLECTROGÈNES À MOTEUR À PISTON À ALLUMAGE PAR COMPRESSION "MOTEUR DIESEL OU SEMI-DIESEL", PUISSANCE &gt; 375 KVA")</t>
  </si>
  <si>
    <t>=t("   GROUPES ÉLECTROGÈNES À MOTEUR À PISTON À ALLUMAGE PAR ÉTINCELLES "MOTEUR À EXPLOSION"")</t>
  </si>
  <si>
    <t>=t("   Appareils électromécaniques à moteur électrique incorporé, à usage domestique (autres qu'aspirateurs de poussières, des aspirateurs de matières sèches et de matières liquides, cireuses à parquets, broyeurs pour déchets de cuisine, broyeurs et mélan</t>
  </si>
  <si>
    <t>=t("   Appareils et dispositifs électriques d'allumage pour moteurs à allumage par étincelles ou par compression, y.c. conjoncteurs-disjoncteurs (autres que génératrices, démarreurs, distributeurs, bobines d'allumage, magnétos, volants magnétiques et boug</t>
  </si>
  <si>
    <t>=t("   Parties des fours électriques industriels et de laboratoires, y.c. des ceux fonctionnant par induction ou par pertes diélectriques ainsi que des appareils industriels ou de laboratoires pour le traitement thermique des matières par induction ou par</t>
  </si>
  <si>
    <t>=t("   Machines et appareils électriques pour le soudage, opérant par laser ou autres faisceaux de lumière ou de photons, par ultrasons, par faisceaux d'électrons, par impulsions magnétiques; machines et appareils électriques pour la projection à chaud de</t>
  </si>
  <si>
    <t>=t("   Appareils électrothermiques, pour usages domestiques (autres que pour la coiffure ou pour sécher les mains, pour le chauffage des locaux, du sol ou pour usages simil.; autres que chauffe-eau, thermoplongeurs, fers à repasser, fours à micro-ondes, f</t>
  </si>
  <si>
    <t>=t("   ÉMETTEURS-RÉCEPTEURS POUR LA TÉLÉCOMMUNICATION PAR COURANT PORTEUR OU POUR LA TÉLÉCOMMUNICATION NUMÉRIQUE, POUR LA TÉLÉPHONIE OU LA TÉLÉGRAPHIE PAR FIL (À L'EXCL. DES POSTES TÉLÉPHONIQUES D'USAGERS, DES VISIOPHONES, DES TÉLÉCOPIEURS, DES TÉLÉSCRIPT</t>
  </si>
  <si>
    <t>=t("   Appareils électriques pour la téléphonie ou la télégraphie par fil (autres que postes téléphoniques d'usagers, visiophones, télécopieurs, téléscripteurs, appareils de commutation et émetteur-récepteur pour la télécommunication par courant porteur o</t>
  </si>
  <si>
    <t xml:space="preserve">=t("   Parties d'appareils électriques pour la téléphonie ou la télégraphie par fil, y.c. les postes téléphoniques d'usagers par fil à combinés sans fil et les appareils pour la télécommunication par courant porteur ou pour la télécommunication numérique </t>
  </si>
  <si>
    <t xml:space="preserve">=t("   Casques d'écoute et écouteurs électro-acoustiques, même combinés avec un microphone, et ensembles ou assortiments constitués par un microphone et un ou plusieurs haut-parleurs (autres qu'appareils téléphoniques, prothèses auditives et casques avec </t>
  </si>
  <si>
    <t>=t("   APPAREILS D'ENREGISTREMENT OU DE REPRODUCTION VIDÉOPHONIQUES À BANDES MAGNÉTIQUES, INCORPORANT ÉGALEMENT UN RÉCEPTEUR DE SIGNAUX VIDÉOPHONIQUES (À L'EXCL. DES CAMÉSCOPES) [01/01/1988-31/12/1991: APPAREILS D'ENREGISTREMENT OU DE REPRODUCTION VIDEOPH</t>
  </si>
  <si>
    <t>=t("   APPAREILS D'ENREGISTREMENT OU DE REPRODUCTION VIDÉOPHONIQUES, INCORPORANT ÉGALEMENT UN RÉCEPTEUR DE SIGNAUX VIDÉOPHONIQUES (AUTRES QU'À BANDES MAGNÉTIQUES ET À L'EXCL. DES CAMÉSCOPES) [01/01/1988-31/12/1991: APPAREILS D'ENREGISTREMENT OU DE REPRODU</t>
  </si>
  <si>
    <t>=t("   Parties et accessoires reconnaissables comme étant exclusivement ou principalement destinés aux appareils d'enregistrement et de reproduction du son et aux appareils d'enregistrement et de reproduction vidéophoniques (à l'excl. des lecteurs de micr</t>
  </si>
  <si>
    <t>=t("   Supports d'enregistrement pour la reproduction des phénomènes autres que le son ou l'image (à l'excl. des disques pour systèmes de lecture par faisceau laser, des bandes magnétiques et des cartes munies d'une piste magnétique ainsi que des produits</t>
  </si>
  <si>
    <t>=t("   Supports enregistrés pour la reproduction du son ou de l'image, y.c. les matrices et moules galvaniques pour la fabrication des disques (à l'excl. des disques pour électrophones, des disques pour systèmes de lecture par faisceau laser, des bandes m</t>
  </si>
  <si>
    <t>=t("   Récepteurs de radiodiffusion ne pouvant fonctionner qu'avec une source d'énergie extérieure, pour véhicules automobiles, y.c. les appareils recevant également la radiotéléphonie ou la radiotélégraphie, non combinés à un appareil d'enregistrement et</t>
  </si>
  <si>
    <t>=t("   Récepteurs de radiodiffusion, y.c. les appareils recevant également la radiotéléphonie ou la radiotélégraphie, ne pouvant fonctionner qu'avec une source d'énergie extérieure, combinés à un appareil d'enregistrement ou de reproduction du son (autres</t>
  </si>
  <si>
    <t>=t("   Récepteurs de radiodiffusion, y.c. les appareils recevant également la radiotéléphonie ou la radiotélégraphie, ne pouvant fonctionner qu'avec une source d'énergie extérieure, combinés ni à un appareil d'enregistrement ou de reproduction du son ni à</t>
  </si>
  <si>
    <t>=t("   PARTIES RECONNAISSABLES COMME ÉTANT EXCLUSIVEMENT OU PRINCIPALEMENT DESTINÉES AUX APPAREILS ÉMETTEURS-RÉCEPTEURS POUR LA RADIODIFFUSION OU LA TÉLÉVISION, AUX CAMÉRAS DE TÉLÉVISION, AUX APPAREILS PHOTOGRAPHIQUES NUMÉRIQUES, AUX CAMÉSCOPES ET AUX APP</t>
  </si>
  <si>
    <t>=t("   Appareils électriques de signalisation acoustique ou visuelle (autres que panneaux indicateurs avec dispositifs à cristaux liquides ou à diodes émettrices de lumière, avertisseurs électriques pour la protection contre le vol ou l'incendie et appare</t>
  </si>
  <si>
    <t>=t("   Appareils électriques pour la coupure, le sectionnement, la protection, le branchement, le raccordement ou la connexion des circuits électriques, pour une tension &gt; 1.000 V (autres que fusibles et coupe-circuit, disjoncteurs, sectionneurs, interrup</t>
  </si>
  <si>
    <t xml:space="preserve">=t("   Appareillage pour le branchement, le raccordement ou la connexion des circuits électriques, pour une tension &lt;= 1.000 V (sauf fusibles et coupe-circuit, disjoncteurs et autres appareils pour la protection des circuits électriques, relais et autres </t>
  </si>
  <si>
    <t>=t("   Parties reconnaissables comme étant exclusivement ou principalement destinées aux appareils du n° 8535, 8536 ou 8537, n.d.a. (à l'excl. des tableaux, panneaux, consoles, pupitres, armoires et autres supports pour articles du n° 8537, dépourvus de l</t>
  </si>
  <si>
    <t>=t("   VÉHICULES POUR LE TRANSPORT DE &gt;= 10 PERSONNES, CHAUFFEUR INCLUS, À MOTEUR À PISTON À ALLUMAGE PAR COMPRESSION "MOTEUR DIESEL OU SEMI-DIESEL"")</t>
  </si>
  <si>
    <t>=t("   VÉHICULES POUR LE TRANSPORT DE &gt;= 10 PERSONNES, CHAUFFEUR INCLUS, AUTRES QU'À MOTEUR À PISTON À ALLUMAGE PAR COMPRESSION "MOTEUR DIESEL OU SEMI-DIESEL"")</t>
  </si>
  <si>
    <t>=t("   VOITURES DE TOURISME ET AUTRES VÉHICULES PRINCIPALEMENT CONÇUS POUR LE TRANSPORT DE PERSONNES, Y.C. LES VOITURES DU TYPE 'BREAK' ET LES VOITURES DE COURSE, À MOTEUR À PISTON ALTERNATIF À ALLUMAGE PAR ÉTINCELLES "MOTEUR À EXPLOSION", CYLINDRÉE &lt;= 1.</t>
  </si>
  <si>
    <t>=t("   VOITURES DE TOURISME ET AUTRES VÉHICULES PRINCIPALEMENT CONÇUS POUR LE TRANSPORT DE PERSONNES, Y.C. LES VOITURES DU TYPE 'BREAK' ET LES VOITURES DE COURSE, À MOTEUR À PISTON ALTERNATIF À ALLUMAGE PAR ÉTINCELLES "MOTEUR À EXPLOSION", CYLINDRÉE &gt; 1.0</t>
  </si>
  <si>
    <t>=t("   VOITURES DE TOURISME ET AUTRES VÉHICULES PRINCIPALEMENT CONÇUS POUR LE TRANSPORT DE PERSONNES, Y.C. LES VOITURES DU TYPE 'BREAK' ET LES VOITURES DE COURSE, À MOTEUR À PISTON ALTERNATIF À ALLUMAGE PAR ÉTINCELLES "MOTEUR À EXPLOSION", CYLINDRÉE &gt; 1.5</t>
  </si>
  <si>
    <t>=t("   VOITURES DE TOURISME ET AUTRES VÉHICULES PRINCIPALEMENT CONÇUS POUR LE TRANSPORT DE PERSONNES, Y.C. LES VOITURES DU TYPE 'BREAK' ET LES VOITURES DE COURSE, À MOTEUR À PISTON ALTERNATIF À ALLUMAGE PAR ÉTINCELLES "MOTEUR À EXPLOSION", CYLINDRÉE &gt; 3.0</t>
  </si>
  <si>
    <t>=t("   VOITURES DE TOURISME ET AUTRES VÉHICULES PRINCIPALEMENT CONÇUS POUR LE TRANSPORT DE PERSONNES, Y.C. LES VOITURES DU TYPE 'BREAK' ET LES VOITURES DE COURSE, À MOTEUR À PISTON À ALLUMAGE PAR COMPRESSION "MOTEUR DIESEL OU SEMI-DIESEL", CYLINDRÉE &lt;= 1.</t>
  </si>
  <si>
    <t>=t("   VOITURES DE TOURISME ET AUTRES VÉHICULES PRINCIPALEMENT CONÇUS POUR LE TRANSPORT DE PERSONNES, Y.C. LES VOITURES DU TYPE 'BREAK' ET LES VOITURES DE COURSE, À MOTEUR À PISTON À ALLUMAGE PAR COMPRESSION "MOTEUR DIESEL OU SEMI-DIESEL", CYLINDRÉE &gt; 1.5</t>
  </si>
  <si>
    <t>=t("   VOITURES DE TOURISME ET AUTRES VÉHICULES PRINCIPALEMENT CONÇUS POUR LE TRANSPORT DE PERSONNES, Y.C. LES VOITURES DU TYPE 'BREAK' ET LES VOITURES DE COURSE, À MOTEUR À PISTON À ALLUMAGE PAR COMPRESSION "MOTEUR DIESEL OU SEMI-DIESEL", CYLINDRÉE &gt; 250</t>
  </si>
  <si>
    <t>=t("   VÉHICULES POUR LE TRANSPORT DE MARCHANDISES, À MOTEUR À PISTON À ALLUMAGE PAR COMPRESSION "MOTEUR DIESEL OU SEMI-DIESEL", POIDS EN CHARGE MAXIMAL &lt;= 5 T (SAUF TOMBEREAUX AUTOMOTEURS DU N° 8704 ET VÉHICULES AUTOMOBILES À USAGES SPÉCIAUX DU N° 8705)"</t>
  </si>
  <si>
    <t>=t("   VÉHICULES POUR LE TRANSPORT DE MARCHANDISES, À MOTEUR À PISTON À ALLUMAGE PAR COMPRESSION "MOTEUR DIESEL OU SEMI-DIESEL", POIDS EN CHARGE MAXIMAL &gt; 5 T MAIS &lt;= 20 T (SAUF TOMBEREAUX AUTOMOTEURS DU N° 8704.10, VÉHICULES AUTOMOBILES À USAGES SPÉCIAUX</t>
  </si>
  <si>
    <t>=t("   VÉHICULES POUR LE TRANSPORT DE MARCHANDISES, À MOTEUR À PISTON À ALLUMAGE PAR COMPRESSION "MOTEUR DIESEL OU SEMI-DIESEL", POIDS EN CHARGE MAXIMAL &gt; 20 T (SAUF TOMBEREAUX AUTOMOTEURS DU N° 8704.10, VÉHICULES AUTOMOBILES À USAGES SPÉCIAUX DU N° 8705)</t>
  </si>
  <si>
    <t>=t("   VÉHICULES POUR LE TRANSPORT DE MARCHANDISES, À MOTEUR À PISTON À ALLUMAGE PAR ÉTINCELLES "MOTEUR À EXPLOSION", POIDS EN CHARGE MAXIMAL &lt;= 5 T (SAUF TOMBEREAUX AUTOMOTEURS DU N° 8704.10, VÉHICULES AUTOMOBILES À USAGES SPÉCIAUX DU N° 8705)")</t>
  </si>
  <si>
    <t>=t("   VÉHICULES POUR LE TRANSPORT DE MARCHANDISES, À MOTEUR À PISTON À ALLUMAGE PAR ÉTINCELLES "MOTEUR À EXPLOSION", POIDS EN CHARGE MAXIMAL &gt; 5 T (SAUF TOMBEREAUX AUTOMOTEURS DU N° 8704.10, VÉHICULES AUTOMOBILES À USAGES SPÉCIAUX DU N° 8705)")</t>
  </si>
  <si>
    <t>=t("   Véhicules automobiles à usages spéciaux (autres que ceux principalement conçus pour le transport de personnes ou de marchandises et sauf camions-béonnières, voitures de lutte contre l'incendie, derricks automobiles pour le sondage ou le forage, cam</t>
  </si>
  <si>
    <t xml:space="preserve">=t("   CHÂSSIS DE TRACTEURS, VÉHICULES POUR LE TRANSPORT DE &gt;= 10 PERSONNES, CHAUFFEUR INCLUS, VOITURES DE TOURISME, VÉHICULES POUR LE TRANSPORT DE MARCHANDISES ET VÉHICULES À USAGES SPÉCIAUX DU N° 8701 À 8705, ÉQUIPÉS DE LEUR MOTEUR (SAUF AVEC MOTEUR ET </t>
  </si>
  <si>
    <t>=t("   PARTIES ET ACCESSOIRES DE CARROSSERIE DE TRACTEURS, VÉHICULES POUR LE TRANSPORT DE &gt;= 10 PERSONNES, CHAUFFEUR INCLUS, VOITURES DE TOURISME, VÉHICULES POUR LE TRANSPORT DE MARCHANDISES ET VÉHICULES À USAGES SPÉCIAUX (SAUF PARE-CHOCS ET LEURS PARTIES</t>
  </si>
  <si>
    <t>=t("   PONTS AVEC DIFFÉRENTIEL, MÊME POURVUS D'AUTRES ORGANES DE TRANSMISSION, ET ESSIEUX PORTEURS AINSI QUE LEURS PARTIES, POUR TRACTEURS, VÉHICULES POUR LE TRANSPORT DE &gt;= 10 PERSONNES, CHAUFFEUR INCLUS, VOITURES DE TOURISME, VÉHICULES POUR LE TRANSPORT</t>
  </si>
  <si>
    <t xml:space="preserve">=t("   SYSTÈMES DE SUSPENSION ET LEURS PARTIES, Y.C. LES AMORTISSEURS DE SUSPENSION, POUR TRACTEURS, VÉHICULES POUR LE TRANSPORT DE &gt;= 10 PERSONNES, CHAUFFEUR INCLUS, VOITURES DE TOURISME, VÉHICULES POUR LE TRANSPORT DE MARCHANDISES ET VÉHICULES À USAGES </t>
  </si>
  <si>
    <t xml:space="preserve">=t("   VOLANTS, COLONNES ET BOÎTIERS DE DIRECTION AINSI QUE LEURS PARTIES, POUR TRACTEURS, VÉHICULES POUR LE TRANSPORT DE &gt;= 10 PERSONNES, CHAUFFEUR INCLUS, VOITURES DE TOURISME, VÉHICULES POUR LE TRANSPORT DE MARCHANDISES ET VÉHICULES À USAGES SPÉCIAUX, </t>
  </si>
  <si>
    <t>=t("   Bateaux-phares, bateaux-pompes, pontons-grues et autres bateaux pour lesquels la navigation n'est qu'accessoire par rapport à la fonction principale (sauf bateaux-dragueurs, plates-formes de forage ou d'exploitation, flottantes ou submersibles, bat</t>
  </si>
  <si>
    <t>=t("   Appareils photographiques, pour pellicules en rouleaux d'une largeur &gt; 35 mm ou pour films plans (autres que les appareils photographiques à développement et tirage instantanés et les appareils photographiques pour usages spéciaux du n° 9006.10, 90</t>
  </si>
  <si>
    <t>=t("   Appareils et matériel pour le développement automatique des pellicules photographiques, des films cinématographiques ou du papier photographique en rouleaux ou pour l'impression automatique des pellicules développées sur des rouleaux de papier phot</t>
  </si>
  <si>
    <t>=t("   Microscopes optiques (à l'excl. de ceux destinés à la photomicrographie, la cinéphotomicrographie ou la microprojection, des microscopes stéréoscopiques, des microscopes binoculaires pour l'ophtalmologie ainsi que des instruments, appareils et mach</t>
  </si>
  <si>
    <t>=t("   Instruments et appareils de géodésie, de topographie, d'arpentage, de nivellement, d'hydrographie, de météorologie, d'hydrologie, de géophysique ou d'océanographie (à l'excl. des boussoles, des télémètres, des théodolites, des tachéomètres, des niv</t>
  </si>
  <si>
    <t>=t("   Appareils d'électrodiagnostic, y.c. les appareils d'exploration fonctionnelle ou de surveillance de paramètres physiologiques (sauf électrocardiographes, appareils de diagnostic par balayage ultrasonique [scanners], appareils de diagnostic par visu</t>
  </si>
  <si>
    <t>=t("   Appareils à tenir à la main, à porter sur la personne ou à implanter dans l'organisme, afin de compenser une déficience ou une infirmité (à l'excl. des articles et appareils de prothèse ainsi que des appareils complets pour faciliter l'audition aux</t>
  </si>
  <si>
    <t>=t("   Dispositifs générateurs de rayons X, autres que tubes à rayons X, générateurs de tension, pupitres de commande, écrans, tables, fauteuils et supports simil. d'examen ou de traitement, ainsi que tous les parties et accessoires des appareils du n° 90</t>
  </si>
  <si>
    <t>=t("   Instruments, appareils et modèles conçus pour la démonstration, p.ex. dans l'enseignement ou les expositions, non susceptibles d'autres emplois (à l'excl. des appareils au sol d'entraînement au vol du n° 8805, des spécimens pour collections du n° 9</t>
  </si>
  <si>
    <t>=t("   DENSIMÈTRES, ARÉOMÈTRES, PÈSE-LIQUIDES ET INSTRUMENTS FLOTTANTS SIMIL., BAROMÈTRES, HYGROMÈTRES ET PSYCHROMÈTRES, MÊME COMBINÉS ENTRE EUX OU COMBINÉS À DES THERMOMÈTRES [01/01/1988-31/12/1991: DENSIMÈTRES, ARÉOMÈTRES, PESE-LIQUIDES ET SIMILAIRES, P</t>
  </si>
  <si>
    <t>=t("   Microtomes; parties et accessoires des instruments et appareils pour analyses physiques ou chimiques, p.ex. polarimètres, réfractomètres, spectromètres, des instruments et appareils pour essais de viscosité, de porosité, de dilatation, de tension s</t>
  </si>
  <si>
    <t>=t("   Instruments et appareils pour la mesure ou le contrôle de grandeurs électriques, avec dispositif enregistreur (à l'excl. des instruments et appareils spécialement conçus pour les techniques de télécommunication, pour la mesure ou le contrôle des di</t>
  </si>
  <si>
    <t>=t("   Instruments et appareils pour la régulation ou le contrôle automatiques (à l'excl. des instruments et appareils, hydrauliques ou pneumatiques, pour la régulation ou le contrôle automatiques, des manostats [pressostats], des thermostats et des artic</t>
  </si>
  <si>
    <t>=t("   Appareils d'horlogerie ne fonctionnant pas électriquement (autres que montres-bracelets, montres de poche et montres simil. du n° 9101 ou 9102, réveils ou pendulettes à mouvement de montre du n° 9103, montres de tableaux de bord et montres simil. d</t>
  </si>
  <si>
    <t>=t("   INSTRUMENTS DE MUSIQUE À VENT (À L'EXCL. DES INSTRUMENTS DITS "CUIVRES")")</t>
  </si>
  <si>
    <t>=t("   PARTIES ET ACCESSOIRES D'INSTRUMENTS DE MUSIQUE "P.EX. MÉCANISMES DE BOÎTES À MUSIQUE, CARTES, DISQUES ET ROULEAUX POUR APPAREILS À JOUER MÉCANIQUEMENT", N.D.A.; MÉTRONOMES ET DIAPASONS DE TOUS TYPES (À L'EXCL. DES CORDES HARMONIQUES ET DES PARTIES</t>
  </si>
  <si>
    <t>=t("   Articles de literie et simil., garnis de plumes, rembourrés, garnis de matières de toutes sortes, y.c. caoutchouc alvéolaire ou matières plastiques alvéolaires (sauf sommiers, matelas, sacs de couchage, matelas à eau, matelas pneumatiques et oreill</t>
  </si>
  <si>
    <t>=t("   JEUX AVEC ÉCRAN, FLIPPERS ET AUTRES AUTRES JEUX FONCTIONNANT PAR L'INTRODUCTION D'UNE PIÈCE DE MONNAIE, D'UN BILLET DE BANQUE, D'UNE CARTE BANCAIRE, D'UN JETON OU PAR D'AUTRES MOYENS DE PAIEMENT (À L'EXCL. DES JEUX DE QUILLES AUTOMATIQUES [P.EX. BO</t>
  </si>
  <si>
    <t>=t("   Tables spéciales pour jeux de casino, jeux de quilles automatiques [p.ex. bowlings] et autres jeux de société, y.c. les jeux à moteur ou à mouvement (sauf jeux fonctionnant par l'introduction d'une pièce de monnaie, d'un billet de banque, d'un jeto</t>
  </si>
  <si>
    <t>=t("   Manèges, balançoires, stands de tir et autres attractions foraines; théâtres ambulants (sauf cirques ambulants et ménageries ambulantes, installations foraines pour la vente de marchandises, y.c. de certaines marchandises, articles offerts en prix,</t>
  </si>
  <si>
    <t>Source: Copyright © 1958 - 2003 European Community, Eurostat. All Rights Reserved. Comext: k0000015.txt  Extracted: 06/10/2014</t>
  </si>
  <si>
    <t>our l'enseignement, des poupées présentant des caractères de jouet et des marchandises présentées sur ces mannequins)")</t>
  </si>
  <si>
    <t>es offerts en prix, jeux f")</t>
  </si>
  <si>
    <t>Table generation of Extraction from Plan "k0000012,mtx"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</si>
</sst>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39"/>
  <sheetViews>
    <sheetView tabSelected="1" topLeftCell="A5" workbookViewId="0">
      <selection activeCell="D5" activeCellId="1" sqref="C1:C1048576 D1:D1048576"/>
    </sheetView>
  </sheetViews>
  <sheetFormatPr baseColWidth="10" defaultRowHeight="15" x14ac:dyDescent="0.25"/>
  <sheetData>
    <row r="1" spans="1:4" x14ac:dyDescent="0.25">
      <c r="C1" t="s">
        <v>512</v>
      </c>
    </row>
    <row r="3" spans="1:4" x14ac:dyDescent="0.25">
      <c r="A3" t="s">
        <v>0</v>
      </c>
      <c r="B3" t="str">
        <f>T("06/10/2014")</f>
        <v>06/10/2014</v>
      </c>
    </row>
    <row r="4" spans="1:4" x14ac:dyDescent="0.25">
      <c r="A4" t="s">
        <v>1</v>
      </c>
      <c r="B4" t="str">
        <f>T("00")</f>
        <v>00</v>
      </c>
    </row>
    <row r="5" spans="1:4" x14ac:dyDescent="0.25">
      <c r="A5" t="s">
        <v>2</v>
      </c>
      <c r="B5" t="str">
        <f>T("2011")</f>
        <v>2011</v>
      </c>
    </row>
    <row r="6" spans="1:4" x14ac:dyDescent="0.25">
      <c r="A6" t="s">
        <v>3</v>
      </c>
      <c r="B6" t="str">
        <f>T("ZZ_7Bureaux")</f>
        <v>ZZ_7Bureaux</v>
      </c>
    </row>
    <row r="7" spans="1:4" x14ac:dyDescent="0.25">
      <c r="A7" t="s">
        <v>4</v>
      </c>
      <c r="B7" t="str">
        <f>T("CS")</f>
        <v>CS</v>
      </c>
    </row>
    <row r="8" spans="1:4" x14ac:dyDescent="0.25">
      <c r="A8" t="s">
        <v>5</v>
      </c>
      <c r="B8" t="str">
        <f>T("I")</f>
        <v>I</v>
      </c>
    </row>
    <row r="9" spans="1:4" x14ac:dyDescent="0.25">
      <c r="A9" t="s">
        <v>6</v>
      </c>
      <c r="B9" t="str">
        <f>T("ZZZ_Monde")</f>
        <v>ZZZ_Monde</v>
      </c>
    </row>
    <row r="10" spans="1:4" x14ac:dyDescent="0.25">
      <c r="A10" t="s">
        <v>7</v>
      </c>
      <c r="B10" t="s">
        <v>8</v>
      </c>
    </row>
    <row r="11" spans="1:4" x14ac:dyDescent="0.25">
      <c r="A11" t="s">
        <v>9</v>
      </c>
      <c r="B11" t="s">
        <v>10</v>
      </c>
    </row>
    <row r="12" spans="1:4" x14ac:dyDescent="0.25">
      <c r="A12" t="s">
        <v>11</v>
      </c>
      <c r="B12" t="s">
        <v>12</v>
      </c>
    </row>
    <row r="14" spans="1:4" x14ac:dyDescent="0.25">
      <c r="C14" t="str">
        <f>T("Valstat")</f>
        <v>Valstat</v>
      </c>
      <c r="D14" t="str">
        <f>T("Poidsnet")</f>
        <v>Poidsnet</v>
      </c>
    </row>
    <row r="15" spans="1:4" x14ac:dyDescent="0.25">
      <c r="C15" t="str">
        <f>T("Valstat")</f>
        <v>Valstat</v>
      </c>
      <c r="D15" t="str">
        <f>T("Poidsnet")</f>
        <v>Poidsnet</v>
      </c>
    </row>
    <row r="16" spans="1:4" x14ac:dyDescent="0.25">
      <c r="A16" t="str">
        <f>T("AD")</f>
        <v>AD</v>
      </c>
      <c r="B16" t="str">
        <f>T("Andorre")</f>
        <v>Andorre</v>
      </c>
    </row>
    <row r="17" spans="1:4" x14ac:dyDescent="0.25">
      <c r="A17" t="str">
        <f>T("   ZZ_Total_Produit_SH6")</f>
        <v xml:space="preserve">   ZZ_Total_Produit_SH6</v>
      </c>
      <c r="B17" t="str">
        <f>T("   ZZ_Total_Produit_SH6")</f>
        <v xml:space="preserve">   ZZ_Total_Produit_SH6</v>
      </c>
      <c r="C17">
        <v>2000000</v>
      </c>
      <c r="D17">
        <v>4000</v>
      </c>
    </row>
    <row r="18" spans="1:4" x14ac:dyDescent="0.25">
      <c r="A18" t="str">
        <f>T("   870422")</f>
        <v xml:space="preserve">   870422</v>
      </c>
      <c r="B18" t="s">
        <v>479</v>
      </c>
      <c r="C18">
        <v>2000000</v>
      </c>
      <c r="D18">
        <v>4000</v>
      </c>
    </row>
    <row r="19" spans="1:4" x14ac:dyDescent="0.25">
      <c r="A19" t="str">
        <f>T("AE")</f>
        <v>AE</v>
      </c>
      <c r="B19" t="str">
        <f>T("Emirats Arabes Unis")</f>
        <v>Emirats Arabes Unis</v>
      </c>
    </row>
    <row r="20" spans="1:4" x14ac:dyDescent="0.25">
      <c r="A20" t="str">
        <f>T("   ZZ_Total_Produit_SH6")</f>
        <v xml:space="preserve">   ZZ_Total_Produit_SH6</v>
      </c>
      <c r="B20" t="str">
        <f>T("   ZZ_Total_Produit_SH6")</f>
        <v xml:space="preserve">   ZZ_Total_Produit_SH6</v>
      </c>
      <c r="C20">
        <v>14718604548.052999</v>
      </c>
      <c r="D20">
        <v>47281458.950000003</v>
      </c>
    </row>
    <row r="21" spans="1:4" x14ac:dyDescent="0.25">
      <c r="A21" t="str">
        <f>T("   040690")</f>
        <v xml:space="preserve">   040690</v>
      </c>
      <c r="B21" t="s">
        <v>18</v>
      </c>
      <c r="C21">
        <v>109224</v>
      </c>
      <c r="D21">
        <v>468</v>
      </c>
    </row>
    <row r="22" spans="1:4" x14ac:dyDescent="0.25">
      <c r="A22" t="str">
        <f>T("   071140")</f>
        <v xml:space="preserve">   071140</v>
      </c>
      <c r="B22" t="str">
        <f>T("   Concombres et cornichons, conservés provisoirement [p.ex. au moyen de gaz sulfureux ou dans de l'eau salée, soufrée ou additionnée d'autres substances servant à assurer provisoirement leur conservation], mais impropres à l'alimentation en l'état")</f>
        <v xml:space="preserve">   Concombres et cornichons, conservés provisoirement [p.ex. au moyen de gaz sulfureux ou dans de l'eau salée, soufrée ou additionnée d'autres substances servant à assurer provisoirement leur conservation], mais impropres à l'alimentation en l'état</v>
      </c>
      <c r="C22">
        <v>363621</v>
      </c>
      <c r="D22">
        <v>652</v>
      </c>
    </row>
    <row r="23" spans="1:4" x14ac:dyDescent="0.25">
      <c r="A23" t="str">
        <f>T("   071340")</f>
        <v xml:space="preserve">   071340</v>
      </c>
      <c r="B23" t="str">
        <f>T("   Lentilles, séchées, écossées, même décortiquées ou cassées")</f>
        <v xml:space="preserve">   Lentilles, séchées, écossées, même décortiquées ou cassées</v>
      </c>
      <c r="C23">
        <v>1015288</v>
      </c>
      <c r="D23">
        <v>3178</v>
      </c>
    </row>
    <row r="24" spans="1:4" x14ac:dyDescent="0.25">
      <c r="A24" t="str">
        <f>T("   080410")</f>
        <v xml:space="preserve">   080410</v>
      </c>
      <c r="B24" t="str">
        <f>T("   Dattes, fraîches ou sèches")</f>
        <v xml:space="preserve">   Dattes, fraîches ou sèches</v>
      </c>
      <c r="C24">
        <v>54646</v>
      </c>
      <c r="D24">
        <v>167</v>
      </c>
    </row>
    <row r="25" spans="1:4" x14ac:dyDescent="0.25">
      <c r="A25" t="str">
        <f>T("   090230")</f>
        <v xml:space="preserve">   090230</v>
      </c>
      <c r="B25" t="s">
        <v>24</v>
      </c>
      <c r="C25">
        <v>4038524</v>
      </c>
      <c r="D25">
        <v>2160</v>
      </c>
    </row>
    <row r="26" spans="1:4" x14ac:dyDescent="0.25">
      <c r="A26" t="str">
        <f>T("   090420")</f>
        <v xml:space="preserve">   090420</v>
      </c>
      <c r="B26" t="str">
        <f>T("   Piments du genre 'Capsicum' ou du genre 'Pimenta', séchés ou broyés ou pulvérisés")</f>
        <v xml:space="preserve">   Piments du genre 'Capsicum' ou du genre 'Pimenta', séchés ou broyés ou pulvérisés</v>
      </c>
      <c r="C26">
        <v>62009</v>
      </c>
      <c r="D26">
        <v>266</v>
      </c>
    </row>
    <row r="27" spans="1:4" x14ac:dyDescent="0.25">
      <c r="A27" t="str">
        <f>T("   100630")</f>
        <v xml:space="preserve">   100630</v>
      </c>
      <c r="B27" t="str">
        <f>T("   Riz semi-blanchi ou blanchi, même poli ou glacé")</f>
        <v xml:space="preserve">   Riz semi-blanchi ou blanchi, même poli ou glacé</v>
      </c>
      <c r="C27">
        <v>7916333368.6160002</v>
      </c>
      <c r="D27">
        <v>29252684</v>
      </c>
    </row>
    <row r="28" spans="1:4" x14ac:dyDescent="0.25">
      <c r="A28" t="str">
        <f>T("   100640")</f>
        <v xml:space="preserve">   100640</v>
      </c>
      <c r="B28" t="str">
        <f>T("   Riz en brisures")</f>
        <v xml:space="preserve">   Riz en brisures</v>
      </c>
      <c r="C28">
        <v>241852486.95899999</v>
      </c>
      <c r="D28">
        <v>915000</v>
      </c>
    </row>
    <row r="29" spans="1:4" x14ac:dyDescent="0.25">
      <c r="A29" t="str">
        <f>T("   110100")</f>
        <v xml:space="preserve">   110100</v>
      </c>
      <c r="B29" t="str">
        <f>T("   Farines de froment [blé] ou de méteil")</f>
        <v xml:space="preserve">   Farines de froment [blé] ou de méteil</v>
      </c>
      <c r="C29">
        <v>763550.576</v>
      </c>
      <c r="D29">
        <v>2868</v>
      </c>
    </row>
    <row r="30" spans="1:4" x14ac:dyDescent="0.25">
      <c r="A30" t="str">
        <f>T("   110510")</f>
        <v xml:space="preserve">   110510</v>
      </c>
      <c r="B30" t="str">
        <f>T("   Farine, semoule et poudre de pommes de terre")</f>
        <v xml:space="preserve">   Farine, semoule et poudre de pommes de terre</v>
      </c>
      <c r="C30">
        <v>42279</v>
      </c>
      <c r="D30">
        <v>181</v>
      </c>
    </row>
    <row r="31" spans="1:4" x14ac:dyDescent="0.25">
      <c r="A31" t="str">
        <f>T("   150990")</f>
        <v xml:space="preserve">   150990</v>
      </c>
      <c r="B31"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31">
        <v>304387</v>
      </c>
      <c r="D31">
        <v>185</v>
      </c>
    </row>
    <row r="32" spans="1:4" x14ac:dyDescent="0.25">
      <c r="A32" t="str">
        <f>T("   151190")</f>
        <v xml:space="preserve">   151190</v>
      </c>
      <c r="B32" t="str">
        <f>T("   Huile de palme et ses fractions, même raffinées, mais non chimiquement modifiées (à l'excl. de l'huile de palme brute)")</f>
        <v xml:space="preserve">   Huile de palme et ses fractions, même raffinées, mais non chimiquement modifiées (à l'excl. de l'huile de palme brute)</v>
      </c>
      <c r="C32">
        <v>574698948.74899995</v>
      </c>
      <c r="D32">
        <v>1500332</v>
      </c>
    </row>
    <row r="33" spans="1:4" x14ac:dyDescent="0.25">
      <c r="A33" t="str">
        <f>T("   151419")</f>
        <v xml:space="preserve">   151419</v>
      </c>
      <c r="B33" t="s">
        <v>34</v>
      </c>
      <c r="C33">
        <v>70464</v>
      </c>
      <c r="D33">
        <v>302</v>
      </c>
    </row>
    <row r="34" spans="1:4" x14ac:dyDescent="0.25">
      <c r="A34" t="str">
        <f>T("   170191")</f>
        <v xml:space="preserve">   170191</v>
      </c>
      <c r="B34" t="str">
        <f>T("   Sucres de canne ou de betterave, à l'état solide, additionnés d'aromatisants ou de colorants")</f>
        <v xml:space="preserve">   Sucres de canne ou de betterave, à l'état solide, additionnés d'aromatisants ou de colorants</v>
      </c>
      <c r="C34">
        <v>474152127.36400002</v>
      </c>
      <c r="D34">
        <v>2000220</v>
      </c>
    </row>
    <row r="35" spans="1:4" x14ac:dyDescent="0.25">
      <c r="A35" t="str">
        <f>T("   170199")</f>
        <v xml:space="preserve">   170199</v>
      </c>
      <c r="B35"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35">
        <v>1081033892.79</v>
      </c>
      <c r="D35">
        <v>4215600</v>
      </c>
    </row>
    <row r="36" spans="1:4" x14ac:dyDescent="0.25">
      <c r="A36" t="str">
        <f>T("   170490")</f>
        <v xml:space="preserve">   170490</v>
      </c>
      <c r="B36" t="str">
        <f>T("   Sucreries sans cacao, y.c. le chocolat blanc (à l'excl. des gommes à mâcher)")</f>
        <v xml:space="preserve">   Sucreries sans cacao, y.c. le chocolat blanc (à l'excl. des gommes à mâcher)</v>
      </c>
      <c r="C36">
        <v>5621337</v>
      </c>
      <c r="D36">
        <v>7638</v>
      </c>
    </row>
    <row r="37" spans="1:4" x14ac:dyDescent="0.25">
      <c r="A37" t="str">
        <f>T("   190230")</f>
        <v xml:space="preserve">   190230</v>
      </c>
      <c r="B37" t="str">
        <f>T("   Pâtes alimentaires, cuites ou autrement préparées (à l'excl. des pâtes alimentaires farcies)")</f>
        <v xml:space="preserve">   Pâtes alimentaires, cuites ou autrement préparées (à l'excl. des pâtes alimentaires farcies)</v>
      </c>
      <c r="C37">
        <v>13108704</v>
      </c>
      <c r="D37">
        <v>105000</v>
      </c>
    </row>
    <row r="38" spans="1:4" x14ac:dyDescent="0.25">
      <c r="A38" t="str">
        <f>T("   190531")</f>
        <v xml:space="preserve">   190531</v>
      </c>
      <c r="B38" t="str">
        <f>T("   Biscuits additionnés d'édulcorants")</f>
        <v xml:space="preserve">   Biscuits additionnés d'édulcorants</v>
      </c>
      <c r="C38">
        <v>27580713</v>
      </c>
      <c r="D38">
        <v>90490</v>
      </c>
    </row>
    <row r="39" spans="1:4" x14ac:dyDescent="0.25">
      <c r="A39" t="str">
        <f>T("   190590")</f>
        <v xml:space="preserve">   190590</v>
      </c>
      <c r="B39" t="s">
        <v>52</v>
      </c>
      <c r="C39">
        <v>6299138</v>
      </c>
      <c r="D39">
        <v>8346</v>
      </c>
    </row>
    <row r="40" spans="1:4" x14ac:dyDescent="0.25">
      <c r="A40" t="str">
        <f>T("   200290")</f>
        <v xml:space="preserve">   200290</v>
      </c>
      <c r="B40"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40">
        <v>26613907</v>
      </c>
      <c r="D40">
        <v>84127</v>
      </c>
    </row>
    <row r="41" spans="1:4" x14ac:dyDescent="0.25">
      <c r="A41" t="str">
        <f>T("   200390")</f>
        <v xml:space="preserve">   200390</v>
      </c>
      <c r="B41"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41">
        <v>953212</v>
      </c>
      <c r="D41">
        <v>7446</v>
      </c>
    </row>
    <row r="42" spans="1:4" x14ac:dyDescent="0.25">
      <c r="A42" t="str">
        <f>T("   200490")</f>
        <v xml:space="preserve">   200490</v>
      </c>
      <c r="B42" t="str">
        <f>T("   LÉGUMES ET MÉLANGES DE LÉGUMES, PRÉPARÉS OU CONSERVÉS AUTREMENT QU'AU VINAIGRE OU À L'ACIDE ACÉTIQUE, CONGELÉS (À L'EXCL. DES CONFITS AU SUCRE AINSI QUE DES TOMATES, DES CHAMPIGNONS, DES TRUFFES ET DES POMMES DE TERRE, NON-MÉLANGÉS)")</f>
        <v xml:space="preserve">   LÉGUMES ET MÉLANGES DE LÉGUMES, PRÉPARÉS OU CONSERVÉS AUTREMENT QU'AU VINAIGRE OU À L'ACIDE ACÉTIQUE, CONGELÉS (À L'EXCL. DES CONFITS AU SUCRE AINSI QUE DES TOMATES, DES CHAMPIGNONS, DES TRUFFES ET DES POMMES DE TERRE, NON-MÉLANGÉS)</v>
      </c>
      <c r="C42">
        <v>1010407</v>
      </c>
      <c r="D42">
        <v>6717</v>
      </c>
    </row>
    <row r="43" spans="1:4" x14ac:dyDescent="0.25">
      <c r="A43" t="str">
        <f>T("   200540")</f>
        <v xml:space="preserve">   200540</v>
      </c>
      <c r="B43" t="str">
        <f>T("   Pois [Pisum sativum], préparés ou conservés autrement qu'au vinaigre ou à l'acide acétique, non congelés")</f>
        <v xml:space="preserve">   Pois [Pisum sativum], préparés ou conservés autrement qu'au vinaigre ou à l'acide acétique, non congelés</v>
      </c>
      <c r="C43">
        <v>1120026</v>
      </c>
      <c r="D43">
        <v>6337</v>
      </c>
    </row>
    <row r="44" spans="1:4" x14ac:dyDescent="0.25">
      <c r="A44" t="str">
        <f>T("   200799")</f>
        <v xml:space="preserve">   200799</v>
      </c>
      <c r="B44" t="s">
        <v>55</v>
      </c>
      <c r="C44">
        <v>1965335</v>
      </c>
      <c r="D44">
        <v>4018</v>
      </c>
    </row>
    <row r="45" spans="1:4" x14ac:dyDescent="0.25">
      <c r="A45" t="str">
        <f>T("   200919")</f>
        <v xml:space="preserve">   200919</v>
      </c>
      <c r="B45"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45">
        <v>3335576</v>
      </c>
      <c r="D45">
        <v>18630</v>
      </c>
    </row>
    <row r="46" spans="1:4" x14ac:dyDescent="0.25">
      <c r="A46" t="str">
        <f>T("   200980")</f>
        <v xml:space="preserve">   200980</v>
      </c>
      <c r="B46"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46">
        <v>2765000</v>
      </c>
      <c r="D46">
        <v>15000</v>
      </c>
    </row>
    <row r="47" spans="1:4" x14ac:dyDescent="0.25">
      <c r="A47" t="str">
        <f>T("   200990")</f>
        <v xml:space="preserve">   200990</v>
      </c>
      <c r="B47"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47">
        <v>1716322</v>
      </c>
      <c r="D47">
        <v>3983</v>
      </c>
    </row>
    <row r="48" spans="1:4" x14ac:dyDescent="0.25">
      <c r="A48" t="str">
        <f>T("   210320")</f>
        <v xml:space="preserve">   210320</v>
      </c>
      <c r="B48" t="str">
        <f>T("   Tomato ketchup et autres sauces tomates")</f>
        <v xml:space="preserve">   Tomato ketchup et autres sauces tomates</v>
      </c>
      <c r="C48">
        <v>5881583</v>
      </c>
      <c r="D48">
        <v>22718</v>
      </c>
    </row>
    <row r="49" spans="1:4" x14ac:dyDescent="0.25">
      <c r="A49" t="str">
        <f>T("   210390")</f>
        <v xml:space="preserve">   210390</v>
      </c>
      <c r="B49"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49">
        <v>15483826</v>
      </c>
      <c r="D49">
        <v>45054</v>
      </c>
    </row>
    <row r="50" spans="1:4" x14ac:dyDescent="0.25">
      <c r="A50" t="str">
        <f>T("   220210")</f>
        <v xml:space="preserve">   220210</v>
      </c>
      <c r="B50"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50">
        <v>2711021</v>
      </c>
      <c r="D50">
        <v>8100</v>
      </c>
    </row>
    <row r="51" spans="1:4" x14ac:dyDescent="0.25">
      <c r="A51" t="str">
        <f>T("   220290")</f>
        <v xml:space="preserve">   220290</v>
      </c>
      <c r="B51" t="str">
        <f>T("   BOISSONS NON-ALCOOLIQUES (À L'EXCL. DES EAUX, DES JUS DE FRUITS OU DE LÉGUMES AINSI QUE DU LAIT)")</f>
        <v xml:space="preserve">   BOISSONS NON-ALCOOLIQUES (À L'EXCL. DES EAUX, DES JUS DE FRUITS OU DE LÉGUMES AINSI QUE DU LAIT)</v>
      </c>
      <c r="C51">
        <v>13090200</v>
      </c>
      <c r="D51">
        <v>41156</v>
      </c>
    </row>
    <row r="52" spans="1:4" x14ac:dyDescent="0.25">
      <c r="A52" t="str">
        <f>T("   220300")</f>
        <v xml:space="preserve">   220300</v>
      </c>
      <c r="B52" t="str">
        <f>T("   Bières de malt")</f>
        <v xml:space="preserve">   Bières de malt</v>
      </c>
      <c r="C52">
        <v>1064157</v>
      </c>
      <c r="D52">
        <v>520</v>
      </c>
    </row>
    <row r="53" spans="1:4" x14ac:dyDescent="0.25">
      <c r="A53" t="str">
        <f>T("   240220")</f>
        <v xml:space="preserve">   240220</v>
      </c>
      <c r="B53" t="str">
        <f>T("   Cigarettes contenant du tabac")</f>
        <v xml:space="preserve">   Cigarettes contenant du tabac</v>
      </c>
      <c r="C53">
        <v>353379395</v>
      </c>
      <c r="D53">
        <v>160056</v>
      </c>
    </row>
    <row r="54" spans="1:4" x14ac:dyDescent="0.25">
      <c r="A54" t="str">
        <f>T("   240310")</f>
        <v xml:space="preserve">   240310</v>
      </c>
      <c r="B54" t="str">
        <f>T("   Tabac à fumer, même contenant des succédanés de tabac en toute proportion")</f>
        <v xml:space="preserve">   Tabac à fumer, même contenant des succédanés de tabac en toute proportion</v>
      </c>
      <c r="C54">
        <v>113606</v>
      </c>
      <c r="D54">
        <v>47</v>
      </c>
    </row>
    <row r="55" spans="1:4" x14ac:dyDescent="0.25">
      <c r="A55" t="str">
        <f>T("   251741")</f>
        <v xml:space="preserve">   251741</v>
      </c>
      <c r="B55" t="str">
        <f>T("   Granulés, éclats et poudres de marbre, même traités thermiquement")</f>
        <v xml:space="preserve">   Granulés, éclats et poudres de marbre, même traités thermiquement</v>
      </c>
      <c r="C55">
        <v>1797563</v>
      </c>
      <c r="D55">
        <v>2300</v>
      </c>
    </row>
    <row r="56" spans="1:4" x14ac:dyDescent="0.25">
      <c r="A56" t="str">
        <f>T("   252329")</f>
        <v xml:space="preserve">   252329</v>
      </c>
      <c r="B56" t="str">
        <f>T("   Ciment Portland normal ou modéré (à l'excl. des ciments Portland blancs, même colorés artificiellement)")</f>
        <v xml:space="preserve">   Ciment Portland normal ou modéré (à l'excl. des ciments Portland blancs, même colorés artificiellement)</v>
      </c>
      <c r="C56">
        <v>65596</v>
      </c>
      <c r="D56">
        <v>40</v>
      </c>
    </row>
    <row r="57" spans="1:4" x14ac:dyDescent="0.25">
      <c r="A57" t="str">
        <f>T("   271019")</f>
        <v xml:space="preserve">   271019</v>
      </c>
      <c r="B57" t="str">
        <f>T("   Huiles moyennes et préparations, de pétrole ou de minéraux bitumineux, n.d.a.")</f>
        <v xml:space="preserve">   Huiles moyennes et préparations, de pétrole ou de minéraux bitumineux, n.d.a.</v>
      </c>
      <c r="C57">
        <v>1162902320</v>
      </c>
      <c r="D57">
        <v>2176310</v>
      </c>
    </row>
    <row r="58" spans="1:4" x14ac:dyDescent="0.25">
      <c r="A58" t="str">
        <f>T("   271490")</f>
        <v xml:space="preserve">   271490</v>
      </c>
      <c r="B58" t="str">
        <f>T("   Bitumes et asphaltes, naturels; asphaltites et roches asphaltiques")</f>
        <v xml:space="preserve">   Bitumes et asphaltes, naturels; asphaltites et roches asphaltiques</v>
      </c>
      <c r="C58">
        <v>43051860</v>
      </c>
      <c r="D58">
        <v>642440</v>
      </c>
    </row>
    <row r="59" spans="1:4" x14ac:dyDescent="0.25">
      <c r="A59" t="str">
        <f>T("   321000")</f>
        <v xml:space="preserve">   321000</v>
      </c>
      <c r="B59"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59">
        <v>85275</v>
      </c>
      <c r="D59">
        <v>63</v>
      </c>
    </row>
    <row r="60" spans="1:4" x14ac:dyDescent="0.25">
      <c r="A60" t="str">
        <f>T("   321590")</f>
        <v xml:space="preserve">   321590</v>
      </c>
      <c r="B60" t="str">
        <f>T("   Encres à écrire et à dessiner, même concentrées ou sous formes solides")</f>
        <v xml:space="preserve">   Encres à écrire et à dessiner, même concentrées ou sous formes solides</v>
      </c>
      <c r="C60">
        <v>3935506</v>
      </c>
      <c r="D60">
        <v>1513.83</v>
      </c>
    </row>
    <row r="61" spans="1:4" x14ac:dyDescent="0.25">
      <c r="A61" t="str">
        <f>T("   330300")</f>
        <v xml:space="preserve">   330300</v>
      </c>
      <c r="B61"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61">
        <v>246386</v>
      </c>
      <c r="D61">
        <v>935</v>
      </c>
    </row>
    <row r="62" spans="1:4" x14ac:dyDescent="0.25">
      <c r="A62" t="str">
        <f>T("   330590")</f>
        <v xml:space="preserve">   330590</v>
      </c>
      <c r="B62"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62">
        <v>3717120</v>
      </c>
      <c r="D62">
        <v>2413</v>
      </c>
    </row>
    <row r="63" spans="1:4" x14ac:dyDescent="0.25">
      <c r="A63" t="str">
        <f>T("   330720")</f>
        <v xml:space="preserve">   330720</v>
      </c>
      <c r="B63" t="str">
        <f>T("   Désodorisants corporels et antisudoraux, préparés")</f>
        <v xml:space="preserve">   Désodorisants corporels et antisudoraux, préparés</v>
      </c>
      <c r="C63">
        <v>2103148</v>
      </c>
      <c r="D63">
        <v>4872</v>
      </c>
    </row>
    <row r="64" spans="1:4" x14ac:dyDescent="0.25">
      <c r="A64" t="str">
        <f>T("   330749")</f>
        <v xml:space="preserve">   330749</v>
      </c>
      <c r="B64"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64">
        <v>305346</v>
      </c>
      <c r="D64">
        <v>656</v>
      </c>
    </row>
    <row r="65" spans="1:4" x14ac:dyDescent="0.25">
      <c r="A65" t="str">
        <f>T("   330790")</f>
        <v xml:space="preserve">   330790</v>
      </c>
      <c r="B65" t="str">
        <f>T("   Dépilatoires, autres produits de parfumerie ou de toilette préparés et autres préparations cosmétiques, n.d.a.")</f>
        <v xml:space="preserve">   Dépilatoires, autres produits de parfumerie ou de toilette préparés et autres préparations cosmétiques, n.d.a.</v>
      </c>
      <c r="C65">
        <v>328677</v>
      </c>
      <c r="D65">
        <v>111</v>
      </c>
    </row>
    <row r="66" spans="1:4" x14ac:dyDescent="0.25">
      <c r="A66" t="str">
        <f>T("   340111")</f>
        <v xml:space="preserve">   340111</v>
      </c>
      <c r="B66" t="s">
        <v>98</v>
      </c>
      <c r="C66">
        <v>3855000</v>
      </c>
      <c r="D66">
        <v>9480</v>
      </c>
    </row>
    <row r="67" spans="1:4" x14ac:dyDescent="0.25">
      <c r="A67" t="str">
        <f>T("   340119")</f>
        <v xml:space="preserve">   340119</v>
      </c>
      <c r="B67" t="s">
        <v>99</v>
      </c>
      <c r="C67">
        <v>3897132</v>
      </c>
      <c r="D67">
        <v>18509</v>
      </c>
    </row>
    <row r="68" spans="1:4" x14ac:dyDescent="0.25">
      <c r="A68" t="str">
        <f>T("   340220")</f>
        <v xml:space="preserve">   340220</v>
      </c>
      <c r="B68" t="s">
        <v>100</v>
      </c>
      <c r="C68">
        <v>235361</v>
      </c>
      <c r="D68">
        <v>553</v>
      </c>
    </row>
    <row r="69" spans="1:4" x14ac:dyDescent="0.25">
      <c r="A69" t="str">
        <f>T("   340399")</f>
        <v xml:space="preserve">   340399</v>
      </c>
      <c r="B69" t="s">
        <v>103</v>
      </c>
      <c r="C69">
        <v>148599</v>
      </c>
      <c r="D69">
        <v>75</v>
      </c>
    </row>
    <row r="70" spans="1:4" x14ac:dyDescent="0.25">
      <c r="A70" t="str">
        <f>T("   380810")</f>
        <v xml:space="preserve">   380810</v>
      </c>
      <c r="B70"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70">
        <v>14849622</v>
      </c>
      <c r="D70">
        <v>6981</v>
      </c>
    </row>
    <row r="71" spans="1:4" x14ac:dyDescent="0.25">
      <c r="A71" t="str">
        <f>T("   381900")</f>
        <v xml:space="preserve">   381900</v>
      </c>
      <c r="B71"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71">
        <v>17985213</v>
      </c>
      <c r="D71">
        <v>25589</v>
      </c>
    </row>
    <row r="72" spans="1:4" x14ac:dyDescent="0.25">
      <c r="A72" t="str">
        <f>T("   391723")</f>
        <v xml:space="preserve">   391723</v>
      </c>
      <c r="B72" t="str">
        <f>T("   TUBES ET TUYAUX RIGIDES, EN POLYMÈRES DU CHLORURE DE VINYLE")</f>
        <v xml:space="preserve">   TUBES ET TUYAUX RIGIDES, EN POLYMÈRES DU CHLORURE DE VINYLE</v>
      </c>
      <c r="C72">
        <v>2968701</v>
      </c>
      <c r="D72">
        <v>1549</v>
      </c>
    </row>
    <row r="73" spans="1:4" x14ac:dyDescent="0.25">
      <c r="A73" t="str">
        <f>T("   391729")</f>
        <v xml:space="preserve">   391729</v>
      </c>
      <c r="B73"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73">
        <v>1264351</v>
      </c>
      <c r="D73">
        <v>4634</v>
      </c>
    </row>
    <row r="74" spans="1:4" x14ac:dyDescent="0.25">
      <c r="A74" t="str">
        <f>T("   391740")</f>
        <v xml:space="preserve">   391740</v>
      </c>
      <c r="B74" t="str">
        <f>T("   Accessoires pour tubes ou tuyaux [joints, coudes, raccords, par exemple], en matières plastiques")</f>
        <v xml:space="preserve">   Accessoires pour tubes ou tuyaux [joints, coudes, raccords, par exemple], en matières plastiques</v>
      </c>
      <c r="C74">
        <v>2004354</v>
      </c>
      <c r="D74">
        <v>4221</v>
      </c>
    </row>
    <row r="75" spans="1:4" x14ac:dyDescent="0.25">
      <c r="A75" t="str">
        <f>T("   391890")</f>
        <v xml:space="preserve">   391890</v>
      </c>
      <c r="B75" t="s">
        <v>126</v>
      </c>
      <c r="C75">
        <v>50000</v>
      </c>
      <c r="D75">
        <v>10</v>
      </c>
    </row>
    <row r="76" spans="1:4" x14ac:dyDescent="0.25">
      <c r="A76" t="str">
        <f>T("   392290")</f>
        <v xml:space="preserve">   392290</v>
      </c>
      <c r="B76"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76">
        <v>1530000</v>
      </c>
      <c r="D76">
        <v>4403</v>
      </c>
    </row>
    <row r="77" spans="1:4" x14ac:dyDescent="0.25">
      <c r="A77" t="str">
        <f>T("   392329")</f>
        <v xml:space="preserve">   392329</v>
      </c>
      <c r="B77" t="str">
        <f>T("   Sacs, sachets, pochettes et cornets, en matières plastiques (autres que les polymères de l'éthylène)")</f>
        <v xml:space="preserve">   Sacs, sachets, pochettes et cornets, en matières plastiques (autres que les polymères de l'éthylène)</v>
      </c>
      <c r="C77">
        <v>23967</v>
      </c>
      <c r="D77">
        <v>32</v>
      </c>
    </row>
    <row r="78" spans="1:4" x14ac:dyDescent="0.25">
      <c r="A78" t="str">
        <f>T("   392410")</f>
        <v xml:space="preserve">   392410</v>
      </c>
      <c r="B78" t="str">
        <f>T("   Vaisselle et autres articles pour le service de la table ou de la cuisine, en matières plastiques")</f>
        <v xml:space="preserve">   Vaisselle et autres articles pour le service de la table ou de la cuisine, en matières plastiques</v>
      </c>
      <c r="C78">
        <v>429042</v>
      </c>
      <c r="D78">
        <v>561</v>
      </c>
    </row>
    <row r="79" spans="1:4" x14ac:dyDescent="0.25">
      <c r="A79" t="str">
        <f>T("   392490")</f>
        <v xml:space="preserve">   392490</v>
      </c>
      <c r="B79" t="s">
        <v>143</v>
      </c>
      <c r="C79">
        <v>667255</v>
      </c>
      <c r="D79">
        <v>782</v>
      </c>
    </row>
    <row r="80" spans="1:4" x14ac:dyDescent="0.25">
      <c r="A80" t="str">
        <f>T("   392510")</f>
        <v xml:space="preserve">   392510</v>
      </c>
      <c r="B80" t="str">
        <f>T("   Réservoirs, foudres, cuves et récipients analogues, en matières plastiques, d'une contenance &gt; 300 l")</f>
        <v xml:space="preserve">   Réservoirs, foudres, cuves et récipients analogues, en matières plastiques, d'une contenance &gt; 300 l</v>
      </c>
      <c r="C80">
        <v>7407876</v>
      </c>
      <c r="D80">
        <v>19723</v>
      </c>
    </row>
    <row r="81" spans="1:4" x14ac:dyDescent="0.25">
      <c r="A81" t="str">
        <f>T("   392590")</f>
        <v xml:space="preserve">   392590</v>
      </c>
      <c r="B81" t="s">
        <v>144</v>
      </c>
      <c r="C81">
        <v>1300000</v>
      </c>
      <c r="D81">
        <v>3255</v>
      </c>
    </row>
    <row r="82" spans="1:4" x14ac:dyDescent="0.25">
      <c r="A82" t="str">
        <f>T("   392620")</f>
        <v xml:space="preserve">   392620</v>
      </c>
      <c r="B82"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82">
        <v>8200378</v>
      </c>
      <c r="D82">
        <v>12374</v>
      </c>
    </row>
    <row r="83" spans="1:4" x14ac:dyDescent="0.25">
      <c r="A83" t="str">
        <f>T("   392690")</f>
        <v xml:space="preserve">   392690</v>
      </c>
      <c r="B83" t="str">
        <f>T("   Ouvrages en matières plastiques et ouvrages en autres matières du n° 3901 à 3914, n.d.a.")</f>
        <v xml:space="preserve">   Ouvrages en matières plastiques et ouvrages en autres matières du n° 3901 à 3914, n.d.a.</v>
      </c>
      <c r="C83">
        <v>1287054</v>
      </c>
      <c r="D83">
        <v>390</v>
      </c>
    </row>
    <row r="84" spans="1:4" x14ac:dyDescent="0.25">
      <c r="A84" t="str">
        <f>T("   401110")</f>
        <v xml:space="preserve">   401110</v>
      </c>
      <c r="B84"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84">
        <v>164216169</v>
      </c>
      <c r="D84">
        <v>60015</v>
      </c>
    </row>
    <row r="85" spans="1:4" x14ac:dyDescent="0.25">
      <c r="A85" t="str">
        <f>T("   401120")</f>
        <v xml:space="preserve">   401120</v>
      </c>
      <c r="B85"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85">
        <v>19933605</v>
      </c>
      <c r="D85">
        <v>23483</v>
      </c>
    </row>
    <row r="86" spans="1:4" x14ac:dyDescent="0.25">
      <c r="A86" t="str">
        <f>T("   401212")</f>
        <v xml:space="preserve">   401212</v>
      </c>
      <c r="B86" t="str">
        <f>T("   Pneumatiques rechapés, en caoutchouc, des types utilisés pour les autobus ou camions")</f>
        <v xml:space="preserve">   Pneumatiques rechapés, en caoutchouc, des types utilisés pour les autobus ou camions</v>
      </c>
      <c r="C86">
        <v>11100155</v>
      </c>
      <c r="D86">
        <v>14945</v>
      </c>
    </row>
    <row r="87" spans="1:4" x14ac:dyDescent="0.25">
      <c r="A87" t="str">
        <f>T("   401220")</f>
        <v xml:space="preserve">   401220</v>
      </c>
      <c r="B87" t="str">
        <f>T("   Pneumatiques usagés, en caoutchouc")</f>
        <v xml:space="preserve">   Pneumatiques usagés, en caoutchouc</v>
      </c>
      <c r="C87">
        <v>4951449</v>
      </c>
      <c r="D87">
        <v>14500</v>
      </c>
    </row>
    <row r="88" spans="1:4" x14ac:dyDescent="0.25">
      <c r="A88" t="str">
        <f>T("   401390")</f>
        <v xml:space="preserve">   401390</v>
      </c>
      <c r="B88"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88">
        <v>409975</v>
      </c>
      <c r="D88">
        <v>945</v>
      </c>
    </row>
    <row r="89" spans="1:4" x14ac:dyDescent="0.25">
      <c r="A89" t="str">
        <f>T("   420329")</f>
        <v xml:space="preserve">   420329</v>
      </c>
      <c r="B89"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89">
        <v>4040671</v>
      </c>
      <c r="D89">
        <v>2753</v>
      </c>
    </row>
    <row r="90" spans="1:4" x14ac:dyDescent="0.25">
      <c r="A90" t="str">
        <f>T("   441219")</f>
        <v xml:space="preserve">   441219</v>
      </c>
      <c r="B90" t="s">
        <v>178</v>
      </c>
      <c r="C90">
        <v>1735247</v>
      </c>
      <c r="D90">
        <v>7480</v>
      </c>
    </row>
    <row r="91" spans="1:4" x14ac:dyDescent="0.25">
      <c r="A91" t="str">
        <f>T("   441400")</f>
        <v xml:space="preserve">   441400</v>
      </c>
      <c r="B91" t="str">
        <f>T("   Cadres en bois pour tableaux, photographies, miroirs ou objets simil.")</f>
        <v xml:space="preserve">   Cadres en bois pour tableaux, photographies, miroirs ou objets simil.</v>
      </c>
      <c r="C91">
        <v>1740876</v>
      </c>
      <c r="D91">
        <v>1060</v>
      </c>
    </row>
    <row r="92" spans="1:4" x14ac:dyDescent="0.25">
      <c r="A92" t="str">
        <f>T("   441810")</f>
        <v xml:space="preserve">   441810</v>
      </c>
      <c r="B92" t="str">
        <f>T("   Fenêtres, portes-fenêtres et leurs cadres et chambranles, en bois")</f>
        <v xml:space="preserve">   Fenêtres, portes-fenêtres et leurs cadres et chambranles, en bois</v>
      </c>
      <c r="C92">
        <v>132023</v>
      </c>
      <c r="D92">
        <v>729</v>
      </c>
    </row>
    <row r="93" spans="1:4" x14ac:dyDescent="0.25">
      <c r="A93" t="str">
        <f>T("   441820")</f>
        <v xml:space="preserve">   441820</v>
      </c>
      <c r="B93" t="str">
        <f>T("   Portes et leurs cadres, chambranles et seuils, en bois")</f>
        <v xml:space="preserve">   Portes et leurs cadres, chambranles et seuils, en bois</v>
      </c>
      <c r="C93">
        <v>65596</v>
      </c>
      <c r="D93">
        <v>70</v>
      </c>
    </row>
    <row r="94" spans="1:4" x14ac:dyDescent="0.25">
      <c r="A94" t="str">
        <f>T("   480100")</f>
        <v xml:space="preserve">   480100</v>
      </c>
      <c r="B94"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94">
        <v>8609580</v>
      </c>
      <c r="D94">
        <v>17228</v>
      </c>
    </row>
    <row r="95" spans="1:4" x14ac:dyDescent="0.25">
      <c r="A95" t="str">
        <f>T("   480257")</f>
        <v xml:space="preserve">   480257</v>
      </c>
      <c r="B95" t="s">
        <v>189</v>
      </c>
      <c r="C95">
        <v>8368526</v>
      </c>
      <c r="D95">
        <v>17958</v>
      </c>
    </row>
    <row r="96" spans="1:4" x14ac:dyDescent="0.25">
      <c r="A96" t="str">
        <f>T("   480269")</f>
        <v xml:space="preserve">   480269</v>
      </c>
      <c r="B96" t="s">
        <v>189</v>
      </c>
      <c r="C96">
        <v>1641410</v>
      </c>
      <c r="D96">
        <v>6200</v>
      </c>
    </row>
    <row r="97" spans="1:4" x14ac:dyDescent="0.25">
      <c r="A97" t="str">
        <f>T("   481029")</f>
        <v xml:space="preserve">   481029</v>
      </c>
      <c r="B97" t="s">
        <v>204</v>
      </c>
      <c r="C97">
        <v>406000</v>
      </c>
      <c r="D97">
        <v>1300</v>
      </c>
    </row>
    <row r="98" spans="1:4" x14ac:dyDescent="0.25">
      <c r="A98" t="str">
        <f>T("   481810")</f>
        <v xml:space="preserve">   481810</v>
      </c>
      <c r="B98" t="str">
        <f>T("   Papier hygiénique, en rouleaux d'une largeur &lt;= 36 cm")</f>
        <v xml:space="preserve">   Papier hygiénique, en rouleaux d'une largeur &lt;= 36 cm</v>
      </c>
      <c r="C98">
        <v>10777706</v>
      </c>
      <c r="D98">
        <v>17732</v>
      </c>
    </row>
    <row r="99" spans="1:4" x14ac:dyDescent="0.25">
      <c r="A99" t="str">
        <f>T("   482190")</f>
        <v xml:space="preserve">   482190</v>
      </c>
      <c r="B99" t="str">
        <f>T("   ÉTIQUETTES DE TOUS GENRES, EN PAPIER OU EN CARTON, NON-IMPRIMÉES")</f>
        <v xml:space="preserve">   ÉTIQUETTES DE TOUS GENRES, EN PAPIER OU EN CARTON, NON-IMPRIMÉES</v>
      </c>
      <c r="C99">
        <v>5082312</v>
      </c>
      <c r="D99">
        <v>1101</v>
      </c>
    </row>
    <row r="100" spans="1:4" x14ac:dyDescent="0.25">
      <c r="A100" t="str">
        <f>T("   490199")</f>
        <v xml:space="preserve">   490199</v>
      </c>
      <c r="B10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0">
        <v>40900326</v>
      </c>
      <c r="D100">
        <v>14417</v>
      </c>
    </row>
    <row r="101" spans="1:4" x14ac:dyDescent="0.25">
      <c r="A101" t="str">
        <f>T("   491110")</f>
        <v xml:space="preserve">   491110</v>
      </c>
      <c r="B101" t="str">
        <f>T("   Imprimés publicitaires, catalogues commerciaux et simil.")</f>
        <v xml:space="preserve">   Imprimés publicitaires, catalogues commerciaux et simil.</v>
      </c>
      <c r="C101">
        <v>3634</v>
      </c>
      <c r="D101">
        <v>50</v>
      </c>
    </row>
    <row r="102" spans="1:4" x14ac:dyDescent="0.25">
      <c r="A102" t="str">
        <f>T("   520852")</f>
        <v xml:space="preserve">   520852</v>
      </c>
      <c r="B102" t="str">
        <f>T("   Tissus de coton, imprimés, à armure toile, contenant &gt;= 85% en poids de coton, d'un poids &gt; 100 g/m² mais &lt;= 200 g/m²")</f>
        <v xml:space="preserve">   Tissus de coton, imprimés, à armure toile, contenant &gt;= 85% en poids de coton, d'un poids &gt; 100 g/m² mais &lt;= 200 g/m²</v>
      </c>
      <c r="C102">
        <v>60000000</v>
      </c>
      <c r="D102">
        <v>61410</v>
      </c>
    </row>
    <row r="103" spans="1:4" x14ac:dyDescent="0.25">
      <c r="A103" t="str">
        <f>T("   551529")</f>
        <v xml:space="preserve">   551529</v>
      </c>
      <c r="B103" t="s">
        <v>232</v>
      </c>
      <c r="C103">
        <v>125088</v>
      </c>
      <c r="D103">
        <v>47</v>
      </c>
    </row>
    <row r="104" spans="1:4" x14ac:dyDescent="0.25">
      <c r="A104" t="str">
        <f>T("   570500")</f>
        <v xml:space="preserve">   570500</v>
      </c>
      <c r="B104"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104">
        <v>3398179</v>
      </c>
      <c r="D104">
        <v>13800</v>
      </c>
    </row>
    <row r="105" spans="1:4" x14ac:dyDescent="0.25">
      <c r="A105" t="str">
        <f>T("   580429")</f>
        <v xml:space="preserve">   580429</v>
      </c>
      <c r="B105" t="str">
        <f>T("   Dentelles à la mécanique, en pièces, en bandes ou en motifs (à l'excl. des articles de fibres synthétiques ou artificielles ainsi que des produits du n° 6002 à 6006)")</f>
        <v xml:space="preserve">   Dentelles à la mécanique, en pièces, en bandes ou en motifs (à l'excl. des articles de fibres synthétiques ou artificielles ainsi que des produits du n° 6002 à 6006)</v>
      </c>
      <c r="C105">
        <v>156186</v>
      </c>
      <c r="D105">
        <v>47</v>
      </c>
    </row>
    <row r="106" spans="1:4" x14ac:dyDescent="0.25">
      <c r="A106" t="str">
        <f>T("   610690")</f>
        <v xml:space="preserve">   610690</v>
      </c>
      <c r="B106"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106">
        <v>886798</v>
      </c>
      <c r="D106">
        <v>500</v>
      </c>
    </row>
    <row r="107" spans="1:4" x14ac:dyDescent="0.25">
      <c r="A107" t="str">
        <f>T("   610910")</f>
        <v xml:space="preserve">   610910</v>
      </c>
      <c r="B107" t="str">
        <f>T("   T-shirts et maillots de corps, en bonneterie, de coton,")</f>
        <v xml:space="preserve">   T-shirts et maillots de corps, en bonneterie, de coton,</v>
      </c>
      <c r="C107">
        <v>1541115</v>
      </c>
      <c r="D107">
        <v>3113</v>
      </c>
    </row>
    <row r="108" spans="1:4" x14ac:dyDescent="0.25">
      <c r="A108" t="str">
        <f>T("   610990")</f>
        <v xml:space="preserve">   610990</v>
      </c>
      <c r="B108" t="str">
        <f>T("   T-shirts et maillots de corps, en bonneterie, de matières textiles (sauf de coton)")</f>
        <v xml:space="preserve">   T-shirts et maillots de corps, en bonneterie, de matières textiles (sauf de coton)</v>
      </c>
      <c r="C108">
        <v>37142</v>
      </c>
      <c r="D108">
        <v>177</v>
      </c>
    </row>
    <row r="109" spans="1:4" x14ac:dyDescent="0.25">
      <c r="A109" t="str">
        <f>T("   611490")</f>
        <v xml:space="preserve">   611490</v>
      </c>
      <c r="B109"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109">
        <v>3500000</v>
      </c>
      <c r="D109">
        <v>10000</v>
      </c>
    </row>
    <row r="110" spans="1:4" x14ac:dyDescent="0.25">
      <c r="A110" t="str">
        <f>T("   620119")</f>
        <v xml:space="preserve">   620119</v>
      </c>
      <c r="B110" t="str">
        <f>T("   Manteaux, imperméables, cabans, capes et articles simil., de matières textiles, pour hommes ou garçonnets (autres que laine, poils fins, coton, fibres synthétiques ou artificielles et sauf articles en bonneterie)")</f>
        <v xml:space="preserve">   Manteaux, imperméables, cabans, capes et articles simil., de matières textiles, pour hommes ou garçonnets (autres que laine, poils fins, coton, fibres synthétiques ou artificielles et sauf articles en bonneterie)</v>
      </c>
      <c r="C110">
        <v>71903</v>
      </c>
      <c r="D110">
        <v>220</v>
      </c>
    </row>
    <row r="111" spans="1:4" x14ac:dyDescent="0.25">
      <c r="A111" t="str">
        <f>T("   620590")</f>
        <v xml:space="preserve">   620590</v>
      </c>
      <c r="B11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1">
        <v>763433</v>
      </c>
      <c r="D111">
        <v>4600</v>
      </c>
    </row>
    <row r="112" spans="1:4" x14ac:dyDescent="0.25">
      <c r="A112" t="str">
        <f>T("   620920")</f>
        <v xml:space="preserve">   620920</v>
      </c>
      <c r="B112" t="str">
        <f>T("   Vêtements et accessoires du vêtement, de coton, pour bébés (autres qu'en bonneterie et sauf bonnets)")</f>
        <v xml:space="preserve">   Vêtements et accessoires du vêtement, de coton, pour bébés (autres qu'en bonneterie et sauf bonnets)</v>
      </c>
      <c r="C112">
        <v>120529</v>
      </c>
      <c r="D112">
        <v>500</v>
      </c>
    </row>
    <row r="113" spans="1:4" x14ac:dyDescent="0.25">
      <c r="A113" t="str">
        <f>T("   630239")</f>
        <v xml:space="preserve">   630239</v>
      </c>
      <c r="B113"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113">
        <v>2831000</v>
      </c>
      <c r="D113">
        <v>2450</v>
      </c>
    </row>
    <row r="114" spans="1:4" x14ac:dyDescent="0.25">
      <c r="A114" t="str">
        <f>T("   630399")</f>
        <v xml:space="preserve">   630399</v>
      </c>
      <c r="B114"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114">
        <v>575328</v>
      </c>
      <c r="D114">
        <v>1270</v>
      </c>
    </row>
    <row r="115" spans="1:4" x14ac:dyDescent="0.25">
      <c r="A115" t="str">
        <f>T("   630533")</f>
        <v xml:space="preserve">   630533</v>
      </c>
      <c r="B115"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15">
        <v>799970</v>
      </c>
      <c r="D115">
        <v>3802</v>
      </c>
    </row>
    <row r="116" spans="1:4" x14ac:dyDescent="0.25">
      <c r="A116" t="str">
        <f>T("   630629")</f>
        <v xml:space="preserve">   630629</v>
      </c>
      <c r="B116" t="str">
        <f>T("   Tentes de matières textiles (autres que de coton ou fibres synthétiques et sauf paravents)")</f>
        <v xml:space="preserve">   Tentes de matières textiles (autres que de coton ou fibres synthétiques et sauf paravents)</v>
      </c>
      <c r="C116">
        <v>8339715</v>
      </c>
      <c r="D116">
        <v>6150</v>
      </c>
    </row>
    <row r="117" spans="1:4" x14ac:dyDescent="0.25">
      <c r="A117" t="str">
        <f>T("   630900")</f>
        <v xml:space="preserve">   630900</v>
      </c>
      <c r="B117" t="s">
        <v>273</v>
      </c>
      <c r="C117">
        <v>37581414</v>
      </c>
      <c r="D117">
        <v>76081</v>
      </c>
    </row>
    <row r="118" spans="1:4" x14ac:dyDescent="0.25">
      <c r="A118" t="str">
        <f>T("   640230")</f>
        <v xml:space="preserve">   640230</v>
      </c>
      <c r="B118" t="s">
        <v>277</v>
      </c>
      <c r="C118">
        <v>4819859</v>
      </c>
      <c r="D118">
        <v>223</v>
      </c>
    </row>
    <row r="119" spans="1:4" x14ac:dyDescent="0.25">
      <c r="A119" t="str">
        <f>T("   650590")</f>
        <v xml:space="preserve">   650590</v>
      </c>
      <c r="B119" t="s">
        <v>284</v>
      </c>
      <c r="C119">
        <v>803871</v>
      </c>
      <c r="D119">
        <v>1474</v>
      </c>
    </row>
    <row r="120" spans="1:4" x14ac:dyDescent="0.25">
      <c r="A120" t="str">
        <f>T("   650610")</f>
        <v xml:space="preserve">   650610</v>
      </c>
      <c r="B120" t="str">
        <f>T("   Coiffures de sécurité, même garnies")</f>
        <v xml:space="preserve">   Coiffures de sécurité, même garnies</v>
      </c>
      <c r="C120">
        <v>3414453</v>
      </c>
      <c r="D120">
        <v>1114</v>
      </c>
    </row>
    <row r="121" spans="1:4" x14ac:dyDescent="0.25">
      <c r="A121" t="str">
        <f>T("   660110")</f>
        <v xml:space="preserve">   660110</v>
      </c>
      <c r="B121" t="str">
        <f>T("   Parasols de jardin et articles simil. (sauf tentes de plage)")</f>
        <v xml:space="preserve">   Parasols de jardin et articles simil. (sauf tentes de plage)</v>
      </c>
      <c r="C121">
        <v>2315261</v>
      </c>
      <c r="D121">
        <v>4244</v>
      </c>
    </row>
    <row r="122" spans="1:4" x14ac:dyDescent="0.25">
      <c r="A122" t="str">
        <f>T("   670290")</f>
        <v xml:space="preserve">   670290</v>
      </c>
      <c r="B122"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122">
        <v>884168</v>
      </c>
      <c r="D122">
        <v>1498</v>
      </c>
    </row>
    <row r="123" spans="1:4" x14ac:dyDescent="0.25">
      <c r="A123" t="str">
        <f>T("   690890")</f>
        <v xml:space="preserve">   690890</v>
      </c>
      <c r="B123" t="s">
        <v>307</v>
      </c>
      <c r="C123">
        <v>173476582</v>
      </c>
      <c r="D123">
        <v>1810009</v>
      </c>
    </row>
    <row r="124" spans="1:4" x14ac:dyDescent="0.25">
      <c r="A124" t="str">
        <f>T("   691010")</f>
        <v xml:space="preserve">   691010</v>
      </c>
      <c r="B124" t="s">
        <v>309</v>
      </c>
      <c r="C124">
        <v>1045600</v>
      </c>
      <c r="D124">
        <v>500</v>
      </c>
    </row>
    <row r="125" spans="1:4" x14ac:dyDescent="0.25">
      <c r="A125" t="str">
        <f>T("   691090")</f>
        <v xml:space="preserve">   691090</v>
      </c>
      <c r="B125" t="s">
        <v>310</v>
      </c>
      <c r="C125">
        <v>35244992</v>
      </c>
      <c r="D125">
        <v>168819</v>
      </c>
    </row>
    <row r="126" spans="1:4" x14ac:dyDescent="0.25">
      <c r="A126" t="str">
        <f>T("   691190")</f>
        <v xml:space="preserve">   691190</v>
      </c>
      <c r="B126" t="s">
        <v>312</v>
      </c>
      <c r="C126">
        <v>221541</v>
      </c>
      <c r="D126">
        <v>833</v>
      </c>
    </row>
    <row r="127" spans="1:4" x14ac:dyDescent="0.25">
      <c r="A127" t="str">
        <f>T("   691200")</f>
        <v xml:space="preserve">   691200</v>
      </c>
      <c r="B127" t="s">
        <v>313</v>
      </c>
      <c r="C127">
        <v>2985184</v>
      </c>
      <c r="D127">
        <v>4794</v>
      </c>
    </row>
    <row r="128" spans="1:4" x14ac:dyDescent="0.25">
      <c r="A128" t="str">
        <f>T("   691410")</f>
        <v xml:space="preserve">   691410</v>
      </c>
      <c r="B128" t="str">
        <f>T("   Ouvrages en porcelaine n.d.a.")</f>
        <v xml:space="preserve">   Ouvrages en porcelaine n.d.a.</v>
      </c>
      <c r="C128">
        <v>3010109</v>
      </c>
      <c r="D128">
        <v>26097</v>
      </c>
    </row>
    <row r="129" spans="1:4" x14ac:dyDescent="0.25">
      <c r="A129" t="str">
        <f>T("   691490")</f>
        <v xml:space="preserve">   691490</v>
      </c>
      <c r="B129" t="str">
        <f>T("   Ouvrages en céramique autres que la porcelaine n.d.a.")</f>
        <v xml:space="preserve">   Ouvrages en céramique autres que la porcelaine n.d.a.</v>
      </c>
      <c r="C129">
        <v>4775572</v>
      </c>
      <c r="D129">
        <v>53127</v>
      </c>
    </row>
    <row r="130" spans="1:4" x14ac:dyDescent="0.25">
      <c r="A130" t="str">
        <f>T("   700490")</f>
        <v xml:space="preserve">   700490</v>
      </c>
      <c r="B130"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130">
        <v>4316068</v>
      </c>
      <c r="D130">
        <v>7650</v>
      </c>
    </row>
    <row r="131" spans="1:4" x14ac:dyDescent="0.25">
      <c r="A131" t="str">
        <f>T("   701399")</f>
        <v xml:space="preserve">   701399</v>
      </c>
      <c r="B131" t="s">
        <v>326</v>
      </c>
      <c r="C131">
        <v>1737336</v>
      </c>
      <c r="D131">
        <v>3906</v>
      </c>
    </row>
    <row r="132" spans="1:4" x14ac:dyDescent="0.25">
      <c r="A132" t="str">
        <f>T("   711719")</f>
        <v xml:space="preserve">   711719</v>
      </c>
      <c r="B132" t="str">
        <f>T("   Bijouterie de fantaisie en métaux communs, même argentés, dorés ou platinés (à l'excl. des boutons de manchettes et des boutons simil.)")</f>
        <v xml:space="preserve">   Bijouterie de fantaisie en métaux communs, même argentés, dorés ou platinés (à l'excl. des boutons de manchettes et des boutons simil.)</v>
      </c>
      <c r="C132">
        <v>60806</v>
      </c>
      <c r="D132">
        <v>141</v>
      </c>
    </row>
    <row r="133" spans="1:4" x14ac:dyDescent="0.25">
      <c r="A133" t="str">
        <f>T("   720839")</f>
        <v xml:space="preserve">   720839</v>
      </c>
      <c r="B133"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133">
        <v>338398614</v>
      </c>
      <c r="D133">
        <v>933380</v>
      </c>
    </row>
    <row r="134" spans="1:4" x14ac:dyDescent="0.25">
      <c r="A134" t="str">
        <f>T("   720917")</f>
        <v xml:space="preserve">   720917</v>
      </c>
      <c r="B134"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134">
        <v>186049279</v>
      </c>
      <c r="D134">
        <v>472076</v>
      </c>
    </row>
    <row r="135" spans="1:4" x14ac:dyDescent="0.25">
      <c r="A135" t="str">
        <f>T("   721391")</f>
        <v xml:space="preserve">   721391</v>
      </c>
      <c r="B135"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35">
        <v>402960164</v>
      </c>
      <c r="D135">
        <v>1187180</v>
      </c>
    </row>
    <row r="136" spans="1:4" x14ac:dyDescent="0.25">
      <c r="A136" t="str">
        <f>T("   721399")</f>
        <v xml:space="preserve">   721399</v>
      </c>
      <c r="B136" t="s">
        <v>338</v>
      </c>
      <c r="C136">
        <v>669172</v>
      </c>
      <c r="D136">
        <v>126</v>
      </c>
    </row>
    <row r="137" spans="1:4" x14ac:dyDescent="0.25">
      <c r="A137" t="str">
        <f>T("   730300")</f>
        <v xml:space="preserve">   730300</v>
      </c>
      <c r="B137" t="str">
        <f>T("   Tubes, tuyaux et profilés creux, en fonte")</f>
        <v xml:space="preserve">   Tubes, tuyaux et profilés creux, en fonte</v>
      </c>
      <c r="C137">
        <v>597750</v>
      </c>
      <c r="D137">
        <v>3505</v>
      </c>
    </row>
    <row r="138" spans="1:4" x14ac:dyDescent="0.25">
      <c r="A138" t="str">
        <f>T("   730890")</f>
        <v xml:space="preserve">   730890</v>
      </c>
      <c r="B138" t="s">
        <v>349</v>
      </c>
      <c r="C138">
        <v>1972746</v>
      </c>
      <c r="D138">
        <v>1840</v>
      </c>
    </row>
    <row r="139" spans="1:4" x14ac:dyDescent="0.25">
      <c r="A139" t="str">
        <f>T("   731815")</f>
        <v xml:space="preserve">   731815</v>
      </c>
      <c r="B139" t="s">
        <v>354</v>
      </c>
      <c r="C139">
        <v>2361757</v>
      </c>
      <c r="D139">
        <v>225</v>
      </c>
    </row>
    <row r="140" spans="1:4" x14ac:dyDescent="0.25">
      <c r="A140" t="str">
        <f>T("   732391")</f>
        <v xml:space="preserve">   732391</v>
      </c>
      <c r="B140" t="s">
        <v>359</v>
      </c>
      <c r="C140">
        <v>127027</v>
      </c>
      <c r="D140">
        <v>90</v>
      </c>
    </row>
    <row r="141" spans="1:4" x14ac:dyDescent="0.25">
      <c r="A141" t="str">
        <f>T("   732393")</f>
        <v xml:space="preserve">   732393</v>
      </c>
      <c r="B141" t="s">
        <v>361</v>
      </c>
      <c r="C141">
        <v>14114579</v>
      </c>
      <c r="D141">
        <v>8328</v>
      </c>
    </row>
    <row r="142" spans="1:4" x14ac:dyDescent="0.25">
      <c r="A142" t="str">
        <f>T("   732394")</f>
        <v xml:space="preserve">   732394</v>
      </c>
      <c r="B142" t="s">
        <v>362</v>
      </c>
      <c r="C142">
        <v>186762</v>
      </c>
      <c r="D142">
        <v>453</v>
      </c>
    </row>
    <row r="143" spans="1:4" x14ac:dyDescent="0.25">
      <c r="A143" t="str">
        <f>T("   732399")</f>
        <v xml:space="preserve">   732399</v>
      </c>
      <c r="B143" t="s">
        <v>363</v>
      </c>
      <c r="C143">
        <v>5633752</v>
      </c>
      <c r="D143">
        <v>23736</v>
      </c>
    </row>
    <row r="144" spans="1:4" x14ac:dyDescent="0.25">
      <c r="A144" t="str">
        <f>T("   732429")</f>
        <v xml:space="preserve">   732429</v>
      </c>
      <c r="B144" t="str">
        <f>T("   Baignoires en tôle d'acier")</f>
        <v xml:space="preserve">   Baignoires en tôle d'acier</v>
      </c>
      <c r="C144">
        <v>3949365</v>
      </c>
      <c r="D144">
        <v>3891</v>
      </c>
    </row>
    <row r="145" spans="1:4" x14ac:dyDescent="0.25">
      <c r="A145" t="str">
        <f>T("   732690")</f>
        <v xml:space="preserve">   732690</v>
      </c>
      <c r="B145"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45">
        <v>8093864</v>
      </c>
      <c r="D145">
        <v>8250</v>
      </c>
    </row>
    <row r="146" spans="1:4" x14ac:dyDescent="0.25">
      <c r="A146" t="str">
        <f>T("   760429")</f>
        <v xml:space="preserve">   760429</v>
      </c>
      <c r="B146" t="str">
        <f>T("   Barres et profilés pleins en alliages d'aluminium, n.d.a.")</f>
        <v xml:space="preserve">   Barres et profilés pleins en alliages d'aluminium, n.d.a.</v>
      </c>
      <c r="C146">
        <v>2971970</v>
      </c>
      <c r="D146">
        <v>4000</v>
      </c>
    </row>
    <row r="147" spans="1:4" x14ac:dyDescent="0.25">
      <c r="A147" t="str">
        <f>T("   760719")</f>
        <v xml:space="preserve">   760719</v>
      </c>
      <c r="B147"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147">
        <v>532079</v>
      </c>
      <c r="D147">
        <v>590</v>
      </c>
    </row>
    <row r="148" spans="1:4" x14ac:dyDescent="0.25">
      <c r="A148" t="str">
        <f>T("   761699")</f>
        <v xml:space="preserve">   761699</v>
      </c>
      <c r="B148" t="str">
        <f>T("   Ouvrages en aluminium, n.d.a.")</f>
        <v xml:space="preserve">   Ouvrages en aluminium, n.d.a.</v>
      </c>
      <c r="C148">
        <v>8282209</v>
      </c>
      <c r="D148">
        <v>3459</v>
      </c>
    </row>
    <row r="149" spans="1:4" x14ac:dyDescent="0.25">
      <c r="A149" t="str">
        <f>T("   820340")</f>
        <v xml:space="preserve">   820340</v>
      </c>
      <c r="B149" t="str">
        <f>T("   Coupe-tubes, coupe-boulons, emporte-pièce et outils simil., à main, en métaux communs")</f>
        <v xml:space="preserve">   Coupe-tubes, coupe-boulons, emporte-pièce et outils simil., à main, en métaux communs</v>
      </c>
      <c r="C149">
        <v>251558</v>
      </c>
      <c r="D149">
        <v>17</v>
      </c>
    </row>
    <row r="150" spans="1:4" x14ac:dyDescent="0.25">
      <c r="A150" t="str">
        <f>T("   820559")</f>
        <v xml:space="preserve">   820559</v>
      </c>
      <c r="B150" t="str">
        <f>T("   Outils à main, y.c. -les diamants de vitrier-, en métaux communs, n.d.a.")</f>
        <v xml:space="preserve">   Outils à main, y.c. -les diamants de vitrier-, en métaux communs, n.d.a.</v>
      </c>
      <c r="C150">
        <v>53918</v>
      </c>
      <c r="D150">
        <v>66</v>
      </c>
    </row>
    <row r="151" spans="1:4" x14ac:dyDescent="0.25">
      <c r="A151" t="str">
        <f>T("   820790")</f>
        <v xml:space="preserve">   820790</v>
      </c>
      <c r="B151" t="str">
        <f>T("   Outils interchangeables pour outillage à main, mécanique ou non, ou pour machines-outils, n.d.a.")</f>
        <v xml:space="preserve">   Outils interchangeables pour outillage à main, mécanique ou non, ou pour machines-outils, n.d.a.</v>
      </c>
      <c r="C151">
        <v>239675</v>
      </c>
      <c r="D151">
        <v>200</v>
      </c>
    </row>
    <row r="152" spans="1:4" x14ac:dyDescent="0.25">
      <c r="A152" t="str">
        <f>T("   821210")</f>
        <v xml:space="preserve">   821210</v>
      </c>
      <c r="B152" t="str">
        <f>T("   Rasoirs et rasoirs de sûreté non-électriques, en métaux communs")</f>
        <v xml:space="preserve">   Rasoirs et rasoirs de sûreté non-électriques, en métaux communs</v>
      </c>
      <c r="C152">
        <v>1755000</v>
      </c>
      <c r="D152">
        <v>1517</v>
      </c>
    </row>
    <row r="153" spans="1:4" x14ac:dyDescent="0.25">
      <c r="A153" t="str">
        <f>T("   830140")</f>
        <v xml:space="preserve">   830140</v>
      </c>
      <c r="B153"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153">
        <v>28761</v>
      </c>
      <c r="D153">
        <v>100</v>
      </c>
    </row>
    <row r="154" spans="1:4" x14ac:dyDescent="0.25">
      <c r="A154" t="str">
        <f>T("   830250")</f>
        <v xml:space="preserve">   830250</v>
      </c>
      <c r="B154" t="str">
        <f>T("   Patères, porte-chapeaux, supports et articles simil. en métaux communs")</f>
        <v xml:space="preserve">   Patères, porte-chapeaux, supports et articles simil. en métaux communs</v>
      </c>
      <c r="C154">
        <v>8730826</v>
      </c>
      <c r="D154">
        <v>48024</v>
      </c>
    </row>
    <row r="155" spans="1:4" x14ac:dyDescent="0.25">
      <c r="A155" t="str">
        <f>T("   830300")</f>
        <v xml:space="preserve">   830300</v>
      </c>
      <c r="B155"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155">
        <v>100558</v>
      </c>
      <c r="D155">
        <v>45</v>
      </c>
    </row>
    <row r="156" spans="1:4" x14ac:dyDescent="0.25">
      <c r="A156" t="str">
        <f>T("   830710")</f>
        <v xml:space="preserve">   830710</v>
      </c>
      <c r="B156" t="str">
        <f>T("   Tuyaux flexibles en fer ou en acier, même avec accessoires")</f>
        <v xml:space="preserve">   Tuyaux flexibles en fer ou en acier, même avec accessoires</v>
      </c>
      <c r="C156">
        <v>431416</v>
      </c>
      <c r="D156">
        <v>740</v>
      </c>
    </row>
    <row r="157" spans="1:4" x14ac:dyDescent="0.25">
      <c r="A157" t="str">
        <f>T("   831000")</f>
        <v xml:space="preserve">   831000</v>
      </c>
      <c r="B157" t="s">
        <v>383</v>
      </c>
      <c r="C157">
        <v>19974</v>
      </c>
      <c r="D157">
        <v>180.37</v>
      </c>
    </row>
    <row r="158" spans="1:4" x14ac:dyDescent="0.25">
      <c r="A158" t="str">
        <f>T("   831130")</f>
        <v xml:space="preserve">   831130</v>
      </c>
      <c r="B158" t="s">
        <v>384</v>
      </c>
      <c r="C158">
        <v>609353</v>
      </c>
      <c r="D158">
        <v>9000</v>
      </c>
    </row>
    <row r="159" spans="1:4" x14ac:dyDescent="0.25">
      <c r="A159" t="str">
        <f>T("   841319")</f>
        <v xml:space="preserve">   841319</v>
      </c>
      <c r="B159"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159">
        <v>629594</v>
      </c>
      <c r="D159">
        <v>2350</v>
      </c>
    </row>
    <row r="160" spans="1:4" x14ac:dyDescent="0.25">
      <c r="A160" t="str">
        <f>T("   841381")</f>
        <v xml:space="preserve">   841381</v>
      </c>
      <c r="B160" t="s">
        <v>398</v>
      </c>
      <c r="C160">
        <v>1581855</v>
      </c>
      <c r="D160">
        <v>4838</v>
      </c>
    </row>
    <row r="161" spans="1:4" x14ac:dyDescent="0.25">
      <c r="A161" t="str">
        <f>T("   841391")</f>
        <v xml:space="preserve">   841391</v>
      </c>
      <c r="B161" t="str">
        <f>T("   Parties de pompes pour liquides, n.d.a.")</f>
        <v xml:space="preserve">   Parties de pompes pour liquides, n.d.a.</v>
      </c>
      <c r="C161">
        <v>431415</v>
      </c>
      <c r="D161">
        <v>1319</v>
      </c>
    </row>
    <row r="162" spans="1:4" x14ac:dyDescent="0.25">
      <c r="A162" t="str">
        <f>T("   841459")</f>
        <v xml:space="preserve">   841459</v>
      </c>
      <c r="B162"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162">
        <v>3277316</v>
      </c>
      <c r="D162">
        <v>8525</v>
      </c>
    </row>
    <row r="163" spans="1:4" x14ac:dyDescent="0.25">
      <c r="A163" t="str">
        <f>T("   841510")</f>
        <v xml:space="preserve">   841510</v>
      </c>
      <c r="B163" t="s">
        <v>400</v>
      </c>
      <c r="C163">
        <v>4020573</v>
      </c>
      <c r="D163">
        <v>863.7</v>
      </c>
    </row>
    <row r="164" spans="1:4" x14ac:dyDescent="0.25">
      <c r="A164" t="str">
        <f>T("   841582")</f>
        <v xml:space="preserve">   841582</v>
      </c>
      <c r="B164" t="s">
        <v>402</v>
      </c>
      <c r="C164">
        <v>1371911</v>
      </c>
      <c r="D164">
        <v>2654</v>
      </c>
    </row>
    <row r="165" spans="1:4" x14ac:dyDescent="0.25">
      <c r="A165" t="str">
        <f>T("   841810")</f>
        <v xml:space="preserve">   841810</v>
      </c>
      <c r="B165" t="str">
        <f>T("   Réfrigérateurs et congélateurs-conservateurs combinés, avec portes extérieures séparées")</f>
        <v xml:space="preserve">   Réfrigérateurs et congélateurs-conservateurs combinés, avec portes extérieures séparées</v>
      </c>
      <c r="C165">
        <v>6550354</v>
      </c>
      <c r="D165">
        <v>3099.2</v>
      </c>
    </row>
    <row r="166" spans="1:4" x14ac:dyDescent="0.25">
      <c r="A166" t="str">
        <f>T("   841821")</f>
        <v xml:space="preserve">   841821</v>
      </c>
      <c r="B166" t="str">
        <f>T("   Réfrigérateurs ménagers à compression")</f>
        <v xml:space="preserve">   Réfrigérateurs ménagers à compression</v>
      </c>
      <c r="C166">
        <v>18577423</v>
      </c>
      <c r="D166">
        <v>7266.5</v>
      </c>
    </row>
    <row r="167" spans="1:4" x14ac:dyDescent="0.25">
      <c r="A167" t="str">
        <f>T("   841822")</f>
        <v xml:space="preserve">   841822</v>
      </c>
      <c r="B167" t="str">
        <f>T("   Réfrigérateurs ménagers à absorption, électriques")</f>
        <v xml:space="preserve">   Réfrigérateurs ménagers à absorption, électriques</v>
      </c>
      <c r="C167">
        <v>383480</v>
      </c>
      <c r="D167">
        <v>50</v>
      </c>
    </row>
    <row r="168" spans="1:4" x14ac:dyDescent="0.25">
      <c r="A168" t="str">
        <f>T("   841829")</f>
        <v xml:space="preserve">   841829</v>
      </c>
      <c r="B168" t="str">
        <f>T("   Réfrigérateurs ménagers à absorption, non-électriques")</f>
        <v xml:space="preserve">   Réfrigérateurs ménagers à absorption, non-électriques</v>
      </c>
      <c r="C168">
        <v>5244043</v>
      </c>
      <c r="D168">
        <v>23497</v>
      </c>
    </row>
    <row r="169" spans="1:4" x14ac:dyDescent="0.25">
      <c r="A169" t="str">
        <f>T("   841850")</f>
        <v xml:space="preserve">   841850</v>
      </c>
      <c r="B169" t="s">
        <v>404</v>
      </c>
      <c r="C169">
        <v>4735623</v>
      </c>
      <c r="D169">
        <v>1773</v>
      </c>
    </row>
    <row r="170" spans="1:4" x14ac:dyDescent="0.25">
      <c r="A170" t="str">
        <f>T("   842489")</f>
        <v xml:space="preserve">   842489</v>
      </c>
      <c r="B170"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170">
        <v>299594</v>
      </c>
      <c r="D170">
        <v>536</v>
      </c>
    </row>
    <row r="171" spans="1:4" x14ac:dyDescent="0.25">
      <c r="A171" t="str">
        <f>T("   842549")</f>
        <v xml:space="preserve">   842549</v>
      </c>
      <c r="B171" t="str">
        <f>T("   Crics et vérins, non hydrauliques")</f>
        <v xml:space="preserve">   Crics et vérins, non hydrauliques</v>
      </c>
      <c r="C171">
        <v>306784</v>
      </c>
      <c r="D171">
        <v>329</v>
      </c>
    </row>
    <row r="172" spans="1:4" x14ac:dyDescent="0.25">
      <c r="A172" t="str">
        <f>T("   842612")</f>
        <v xml:space="preserve">   842612</v>
      </c>
      <c r="B172" t="str">
        <f>T("   Portiques mobiles sur pneumatiques et chariots-cavaliers")</f>
        <v xml:space="preserve">   Portiques mobiles sur pneumatiques et chariots-cavaliers</v>
      </c>
      <c r="C172">
        <v>925146</v>
      </c>
      <c r="D172">
        <v>3300</v>
      </c>
    </row>
    <row r="173" spans="1:4" x14ac:dyDescent="0.25">
      <c r="A173" t="str">
        <f>T("   842720")</f>
        <v xml:space="preserve">   842720</v>
      </c>
      <c r="B173" t="str">
        <f>T("   Chariots de manutention autopropulsés, autres qu'à moteur électrique, avec dispositif de levage")</f>
        <v xml:space="preserve">   Chariots de manutention autopropulsés, autres qu'à moteur électrique, avec dispositif de levage</v>
      </c>
      <c r="C173">
        <v>24060441</v>
      </c>
      <c r="D173">
        <v>8700</v>
      </c>
    </row>
    <row r="174" spans="1:4" x14ac:dyDescent="0.25">
      <c r="A174" t="str">
        <f>T("   842839")</f>
        <v xml:space="preserve">   842839</v>
      </c>
      <c r="B174"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174">
        <v>1258294</v>
      </c>
      <c r="D174">
        <v>3251</v>
      </c>
    </row>
    <row r="175" spans="1:4" x14ac:dyDescent="0.25">
      <c r="A175" t="str">
        <f>T("   842911")</f>
        <v xml:space="preserve">   842911</v>
      </c>
      <c r="B175" t="str">
        <f>T("   Bouteurs 'bulldozers' et bouteurs biais 'angledozers', à chenilles")</f>
        <v xml:space="preserve">   Bouteurs 'bulldozers' et bouteurs biais 'angledozers', à chenilles</v>
      </c>
      <c r="C175">
        <v>7000428</v>
      </c>
      <c r="D175">
        <v>28000</v>
      </c>
    </row>
    <row r="176" spans="1:4" x14ac:dyDescent="0.25">
      <c r="A176" t="str">
        <f>T("   842940")</f>
        <v xml:space="preserve">   842940</v>
      </c>
      <c r="B176" t="str">
        <f>T("   Rouleaux compresseurs et autres compacteuses, autopropulsés")</f>
        <v xml:space="preserve">   Rouleaux compresseurs et autres compacteuses, autopropulsés</v>
      </c>
      <c r="C176">
        <v>329793</v>
      </c>
      <c r="D176">
        <v>1446</v>
      </c>
    </row>
    <row r="177" spans="1:4" x14ac:dyDescent="0.25">
      <c r="A177" t="str">
        <f>T("   842951")</f>
        <v xml:space="preserve">   842951</v>
      </c>
      <c r="B177" t="str">
        <f>T("   Chargeuses et chargeuses-pelleteuses, à chargement frontal, autopropulsées")</f>
        <v xml:space="preserve">   Chargeuses et chargeuses-pelleteuses, à chargement frontal, autopropulsées</v>
      </c>
      <c r="C177">
        <v>8397254</v>
      </c>
      <c r="D177">
        <v>23288</v>
      </c>
    </row>
    <row r="178" spans="1:4" x14ac:dyDescent="0.25">
      <c r="A178" t="str">
        <f>T("   842959")</f>
        <v xml:space="preserve">   842959</v>
      </c>
      <c r="B178"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78">
        <v>10000200</v>
      </c>
      <c r="D178">
        <v>33000</v>
      </c>
    </row>
    <row r="179" spans="1:4" x14ac:dyDescent="0.25">
      <c r="A179" t="str">
        <f>T("   844330")</f>
        <v xml:space="preserve">   844330</v>
      </c>
      <c r="B179" t="str">
        <f>T("   Machines et appareils à imprimer, flexographiques")</f>
        <v xml:space="preserve">   Machines et appareils à imprimer, flexographiques</v>
      </c>
      <c r="C179">
        <v>40652400</v>
      </c>
      <c r="D179">
        <v>4652.5</v>
      </c>
    </row>
    <row r="180" spans="1:4" x14ac:dyDescent="0.25">
      <c r="A180" t="str">
        <f>T("   845410")</f>
        <v xml:space="preserve">   845410</v>
      </c>
      <c r="B180" t="str">
        <f>T("   Convertisseurs pour métallurgie, aciérie ou fonderie")</f>
        <v xml:space="preserve">   Convertisseurs pour métallurgie, aciérie ou fonderie</v>
      </c>
      <c r="C180">
        <v>203724</v>
      </c>
      <c r="D180">
        <v>145</v>
      </c>
    </row>
    <row r="181" spans="1:4" x14ac:dyDescent="0.25">
      <c r="A181" t="str">
        <f>T("   846880")</f>
        <v xml:space="preserve">   846880</v>
      </c>
      <c r="B181" t="str">
        <f>T("   Machines et appareils pour le brasage ou le soudage (autres qu'aux gaz et à l'excl. des machines ou appareils pour le brasage ou le soudage électriques du n° 8515)")</f>
        <v xml:space="preserve">   Machines et appareils pour le brasage ou le soudage (autres qu'aux gaz et à l'excl. des machines ou appareils pour le brasage ou le soudage électriques du n° 8515)</v>
      </c>
      <c r="C181">
        <v>1139885</v>
      </c>
      <c r="D181">
        <v>17</v>
      </c>
    </row>
    <row r="182" spans="1:4" x14ac:dyDescent="0.25">
      <c r="A182" t="str">
        <f>T("   846912")</f>
        <v xml:space="preserve">   846912</v>
      </c>
      <c r="B182" t="s">
        <v>432</v>
      </c>
      <c r="C182">
        <v>85324</v>
      </c>
      <c r="D182">
        <v>80</v>
      </c>
    </row>
    <row r="183" spans="1:4" x14ac:dyDescent="0.25">
      <c r="A183" t="str">
        <f>T("   847010")</f>
        <v xml:space="preserve">   847010</v>
      </c>
      <c r="B183" t="s">
        <v>433</v>
      </c>
      <c r="C183">
        <v>1509954</v>
      </c>
      <c r="D183">
        <v>498</v>
      </c>
    </row>
    <row r="184" spans="1:4" x14ac:dyDescent="0.25">
      <c r="A184" t="str">
        <f>T("   847141")</f>
        <v xml:space="preserve">   847141</v>
      </c>
      <c r="B184" t="s">
        <v>434</v>
      </c>
      <c r="C184">
        <v>25285605</v>
      </c>
      <c r="D184">
        <v>2087</v>
      </c>
    </row>
    <row r="185" spans="1:4" x14ac:dyDescent="0.25">
      <c r="A185" t="str">
        <f>T("   847149")</f>
        <v xml:space="preserve">   847149</v>
      </c>
      <c r="B185" t="s">
        <v>435</v>
      </c>
      <c r="C185">
        <v>4771450</v>
      </c>
      <c r="D185">
        <v>320</v>
      </c>
    </row>
    <row r="186" spans="1:4" x14ac:dyDescent="0.25">
      <c r="A186" t="str">
        <f>T("   847190")</f>
        <v xml:space="preserve">   847190</v>
      </c>
      <c r="B18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86">
        <v>6420414</v>
      </c>
      <c r="D186">
        <v>3900</v>
      </c>
    </row>
    <row r="187" spans="1:4" x14ac:dyDescent="0.25">
      <c r="A187" t="str">
        <f>T("   848180")</f>
        <v xml:space="preserve">   848180</v>
      </c>
      <c r="B187"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87">
        <v>1031173</v>
      </c>
      <c r="D187">
        <v>139</v>
      </c>
    </row>
    <row r="188" spans="1:4" x14ac:dyDescent="0.25">
      <c r="A188" t="str">
        <f>T("   850110")</f>
        <v xml:space="preserve">   850110</v>
      </c>
      <c r="B188" t="str">
        <f>T("   Moteurs d'une puissance &lt;= 37,5 W")</f>
        <v xml:space="preserve">   Moteurs d'une puissance &lt;= 37,5 W</v>
      </c>
      <c r="C188">
        <v>7789</v>
      </c>
      <c r="D188">
        <v>43</v>
      </c>
    </row>
    <row r="189" spans="1:4" x14ac:dyDescent="0.25">
      <c r="A189" t="str">
        <f>T("   850161")</f>
        <v xml:space="preserve">   850161</v>
      </c>
      <c r="B189" t="str">
        <f>T("   Alternateurs, puissance &lt;= 75 kVA")</f>
        <v xml:space="preserve">   Alternateurs, puissance &lt;= 75 kVA</v>
      </c>
      <c r="C189">
        <v>1006635</v>
      </c>
      <c r="D189">
        <v>1260</v>
      </c>
    </row>
    <row r="190" spans="1:4" x14ac:dyDescent="0.25">
      <c r="A190" t="str">
        <f>T("   850211")</f>
        <v xml:space="preserve">   850211</v>
      </c>
      <c r="B190" t="s">
        <v>444</v>
      </c>
      <c r="C190">
        <v>2760030</v>
      </c>
      <c r="D190">
        <v>800</v>
      </c>
    </row>
    <row r="191" spans="1:4" x14ac:dyDescent="0.25">
      <c r="A191" t="str">
        <f>T("   850212")</f>
        <v xml:space="preserve">   850212</v>
      </c>
      <c r="B191"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191">
        <v>300000</v>
      </c>
      <c r="D191">
        <v>800</v>
      </c>
    </row>
    <row r="192" spans="1:4" x14ac:dyDescent="0.25">
      <c r="A192" t="str">
        <f>T("   850239")</f>
        <v xml:space="preserve">   850239</v>
      </c>
      <c r="B192" t="str">
        <f>T("   Groupes électrogènes (autres qu'à énergie éolienne et à moteurs à piston)")</f>
        <v xml:space="preserve">   Groupes électrogènes (autres qu'à énergie éolienne et à moteurs à piston)</v>
      </c>
      <c r="C192">
        <v>14058526</v>
      </c>
      <c r="D192">
        <v>32102</v>
      </c>
    </row>
    <row r="193" spans="1:4" x14ac:dyDescent="0.25">
      <c r="A193" t="str">
        <f>T("   850300")</f>
        <v xml:space="preserve">   850300</v>
      </c>
      <c r="B193"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193">
        <v>2901310</v>
      </c>
      <c r="D193">
        <v>6570</v>
      </c>
    </row>
    <row r="194" spans="1:4" x14ac:dyDescent="0.25">
      <c r="A194" t="str">
        <f>T("   850434")</f>
        <v xml:space="preserve">   850434</v>
      </c>
      <c r="B194" t="str">
        <f>T("   Transformateurs à sec, puissance &gt; 500 kVA")</f>
        <v xml:space="preserve">   Transformateurs à sec, puissance &gt; 500 kVA</v>
      </c>
      <c r="C194">
        <v>1162425</v>
      </c>
      <c r="D194">
        <v>675</v>
      </c>
    </row>
    <row r="195" spans="1:4" x14ac:dyDescent="0.25">
      <c r="A195" t="str">
        <f>T("   850780")</f>
        <v xml:space="preserve">   850780</v>
      </c>
      <c r="B195" t="str">
        <f>T("   Accumulateurs électriques (sauf hors d'usage et autres qu'au plomb, au nickel-cadmium ou au nickel-fer)")</f>
        <v xml:space="preserve">   Accumulateurs électriques (sauf hors d'usage et autres qu'au plomb, au nickel-cadmium ou au nickel-fer)</v>
      </c>
      <c r="C195">
        <v>3512198</v>
      </c>
      <c r="D195">
        <v>2011</v>
      </c>
    </row>
    <row r="196" spans="1:4" x14ac:dyDescent="0.25">
      <c r="A196" t="str">
        <f>T("   851310")</f>
        <v xml:space="preserve">   851310</v>
      </c>
      <c r="B196" t="str">
        <f>T("   Lampes électriques portatives, destinées à fonctionner au moyen de leur propre source d'énergie")</f>
        <v xml:space="preserve">   Lampes électriques portatives, destinées à fonctionner au moyen de leur propre source d'énergie</v>
      </c>
      <c r="C196">
        <v>803531</v>
      </c>
      <c r="D196">
        <v>660</v>
      </c>
    </row>
    <row r="197" spans="1:4" x14ac:dyDescent="0.25">
      <c r="A197" t="str">
        <f>T("   851539")</f>
        <v xml:space="preserve">   851539</v>
      </c>
      <c r="B197" t="str">
        <f>T("   MACHINES ET APPAREILS POUR LE SOUDAGE DES MÉTAUX À L'ARC OU AU JET DE PLASMA, NON-AUTOMATIQUES")</f>
        <v xml:space="preserve">   MACHINES ET APPAREILS POUR LE SOUDAGE DES MÉTAUX À L'ARC OU AU JET DE PLASMA, NON-AUTOMATIQUES</v>
      </c>
      <c r="C197">
        <v>249263</v>
      </c>
      <c r="D197">
        <v>350</v>
      </c>
    </row>
    <row r="198" spans="1:4" x14ac:dyDescent="0.25">
      <c r="A198" t="str">
        <f>T("   851610")</f>
        <v xml:space="preserve">   851610</v>
      </c>
      <c r="B198" t="str">
        <f>T("   Chauffe-eau et thermoplongeurs électriques")</f>
        <v xml:space="preserve">   Chauffe-eau et thermoplongeurs électriques</v>
      </c>
      <c r="C198">
        <v>703686</v>
      </c>
      <c r="D198">
        <v>2317</v>
      </c>
    </row>
    <row r="199" spans="1:4" x14ac:dyDescent="0.25">
      <c r="A199" t="str">
        <f>T("   851640")</f>
        <v xml:space="preserve">   851640</v>
      </c>
      <c r="B199" t="str">
        <f>T("   Fers à repasser électriques")</f>
        <v xml:space="preserve">   Fers à repasser électriques</v>
      </c>
      <c r="C199">
        <v>269395</v>
      </c>
      <c r="D199">
        <v>310</v>
      </c>
    </row>
    <row r="200" spans="1:4" x14ac:dyDescent="0.25">
      <c r="A200" t="str">
        <f>T("   851650")</f>
        <v xml:space="preserve">   851650</v>
      </c>
      <c r="B200" t="str">
        <f>T("   Fours à micro-ondes")</f>
        <v xml:space="preserve">   Fours à micro-ondes</v>
      </c>
      <c r="C200">
        <v>403539</v>
      </c>
      <c r="D200">
        <v>130</v>
      </c>
    </row>
    <row r="201" spans="1:4" x14ac:dyDescent="0.25">
      <c r="A201" t="str">
        <f>T("   851660")</f>
        <v xml:space="preserve">   851660</v>
      </c>
      <c r="B201"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201">
        <v>104239</v>
      </c>
      <c r="D201">
        <v>250</v>
      </c>
    </row>
    <row r="202" spans="1:4" x14ac:dyDescent="0.25">
      <c r="A202" t="str">
        <f>T("   851790")</f>
        <v xml:space="preserve">   851790</v>
      </c>
      <c r="B202" t="s">
        <v>454</v>
      </c>
      <c r="C202">
        <v>427580</v>
      </c>
      <c r="D202">
        <v>6</v>
      </c>
    </row>
    <row r="203" spans="1:4" x14ac:dyDescent="0.25">
      <c r="A203" t="str">
        <f>T("   851829")</f>
        <v xml:space="preserve">   851829</v>
      </c>
      <c r="B203" t="str">
        <f>T("   Haut-parleurs sans enceinte")</f>
        <v xml:space="preserve">   Haut-parleurs sans enceinte</v>
      </c>
      <c r="C203">
        <v>1631230</v>
      </c>
      <c r="D203">
        <v>893</v>
      </c>
    </row>
    <row r="204" spans="1:4" x14ac:dyDescent="0.25">
      <c r="A204" t="str">
        <f>T("   851850")</f>
        <v xml:space="preserve">   851850</v>
      </c>
      <c r="B204" t="str">
        <f>T("   Appareils électriques d'amplification du son")</f>
        <v xml:space="preserve">   Appareils électriques d'amplification du son</v>
      </c>
      <c r="C204">
        <v>251659</v>
      </c>
      <c r="D204">
        <v>525</v>
      </c>
    </row>
    <row r="205" spans="1:4" x14ac:dyDescent="0.25">
      <c r="A205" t="str">
        <f>T("   851999")</f>
        <v xml:space="preserve">   851999</v>
      </c>
      <c r="B205"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205">
        <v>229586</v>
      </c>
      <c r="D205">
        <v>40</v>
      </c>
    </row>
    <row r="206" spans="1:4" x14ac:dyDescent="0.25">
      <c r="A206" t="str">
        <f>T("   852190")</f>
        <v xml:space="preserve">   852190</v>
      </c>
      <c r="B206" t="s">
        <v>457</v>
      </c>
      <c r="C206">
        <v>1192145</v>
      </c>
      <c r="D206">
        <v>985</v>
      </c>
    </row>
    <row r="207" spans="1:4" x14ac:dyDescent="0.25">
      <c r="A207" t="str">
        <f>T("   852439")</f>
        <v xml:space="preserve">   852439</v>
      </c>
      <c r="B207"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207">
        <v>29720</v>
      </c>
      <c r="D207">
        <v>20</v>
      </c>
    </row>
    <row r="208" spans="1:4" x14ac:dyDescent="0.25">
      <c r="A208" t="str">
        <f>T("   852499")</f>
        <v xml:space="preserve">   852499</v>
      </c>
      <c r="B208" t="s">
        <v>460</v>
      </c>
      <c r="C208">
        <v>556455</v>
      </c>
      <c r="D208">
        <v>373</v>
      </c>
    </row>
    <row r="209" spans="1:4" x14ac:dyDescent="0.25">
      <c r="A209" t="str">
        <f>T("   852520")</f>
        <v xml:space="preserve">   852520</v>
      </c>
      <c r="B209"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209">
        <v>452028</v>
      </c>
      <c r="D209">
        <v>200</v>
      </c>
    </row>
    <row r="210" spans="1:4" x14ac:dyDescent="0.25">
      <c r="A210" t="str">
        <f>T("   852540")</f>
        <v xml:space="preserve">   852540</v>
      </c>
      <c r="B210" t="str">
        <f>T("   Appareils de prise de vues fixes vidéo et autres caméscopes; appareils photographiques numériques")</f>
        <v xml:space="preserve">   Appareils de prise de vues fixes vidéo et autres caméscopes; appareils photographiques numériques</v>
      </c>
      <c r="C210">
        <v>787984</v>
      </c>
      <c r="D210">
        <v>202.3</v>
      </c>
    </row>
    <row r="211" spans="1:4" x14ac:dyDescent="0.25">
      <c r="A211" t="str">
        <f>T("   852731")</f>
        <v xml:space="preserve">   852731</v>
      </c>
      <c r="B211" t="s">
        <v>462</v>
      </c>
      <c r="C211">
        <v>2109056</v>
      </c>
      <c r="D211">
        <v>804</v>
      </c>
    </row>
    <row r="212" spans="1:4" x14ac:dyDescent="0.25">
      <c r="A212" t="str">
        <f>T("   852812")</f>
        <v xml:space="preserve">   852812</v>
      </c>
      <c r="B212"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212">
        <v>14272187</v>
      </c>
      <c r="D212">
        <v>5548</v>
      </c>
    </row>
    <row r="213" spans="1:4" x14ac:dyDescent="0.25">
      <c r="A213" t="str">
        <f>T("   852990")</f>
        <v xml:space="preserve">   852990</v>
      </c>
      <c r="B213" t="s">
        <v>464</v>
      </c>
      <c r="C213">
        <v>200369</v>
      </c>
      <c r="D213">
        <v>230</v>
      </c>
    </row>
    <row r="214" spans="1:4" x14ac:dyDescent="0.25">
      <c r="A214" t="str">
        <f>T("   854420")</f>
        <v xml:space="preserve">   854420</v>
      </c>
      <c r="B214" t="str">
        <f>T("   Câbles coaxiaux et autres conducteurs électriques coaxiaux, isolés")</f>
        <v xml:space="preserve">   Câbles coaxiaux et autres conducteurs électriques coaxiaux, isolés</v>
      </c>
      <c r="C214">
        <v>14380</v>
      </c>
      <c r="D214">
        <v>5</v>
      </c>
    </row>
    <row r="215" spans="1:4" x14ac:dyDescent="0.25">
      <c r="A215" t="str">
        <f>T("   854460")</f>
        <v xml:space="preserve">   854460</v>
      </c>
      <c r="B215" t="str">
        <f>T("   Conducteurs électriques, pour tension &gt; 1.000 V, n.d.a.")</f>
        <v xml:space="preserve">   Conducteurs électriques, pour tension &gt; 1.000 V, n.d.a.</v>
      </c>
      <c r="C215">
        <v>367101229</v>
      </c>
      <c r="D215">
        <v>131784</v>
      </c>
    </row>
    <row r="216" spans="1:4" x14ac:dyDescent="0.25">
      <c r="A216" t="str">
        <f>T("   870120")</f>
        <v xml:space="preserve">   870120</v>
      </c>
      <c r="B216" t="str">
        <f>T("   Tracteurs routiers pour semi-remorques")</f>
        <v xml:space="preserve">   Tracteurs routiers pour semi-remorques</v>
      </c>
      <c r="C216">
        <v>4000000</v>
      </c>
      <c r="D216">
        <v>10000</v>
      </c>
    </row>
    <row r="217" spans="1:4" x14ac:dyDescent="0.25">
      <c r="A217" t="str">
        <f>T("   870290")</f>
        <v xml:space="preserve">   870290</v>
      </c>
      <c r="B217" t="s">
        <v>470</v>
      </c>
      <c r="C217">
        <v>2400000</v>
      </c>
      <c r="D217">
        <v>3260</v>
      </c>
    </row>
    <row r="218" spans="1:4" x14ac:dyDescent="0.25">
      <c r="A218" t="str">
        <f>T("   870322")</f>
        <v xml:space="preserve">   870322</v>
      </c>
      <c r="B218" t="s">
        <v>472</v>
      </c>
      <c r="C218">
        <v>159870362</v>
      </c>
      <c r="D218">
        <v>37369</v>
      </c>
    </row>
    <row r="219" spans="1:4" x14ac:dyDescent="0.25">
      <c r="A219" t="str">
        <f>T("   870323")</f>
        <v xml:space="preserve">   870323</v>
      </c>
      <c r="B219" t="s">
        <v>473</v>
      </c>
      <c r="C219">
        <v>97669963</v>
      </c>
      <c r="D219">
        <v>23540</v>
      </c>
    </row>
    <row r="220" spans="1:4" x14ac:dyDescent="0.25">
      <c r="A220" t="str">
        <f>T("   870324")</f>
        <v xml:space="preserve">   870324</v>
      </c>
      <c r="B220" t="s">
        <v>474</v>
      </c>
      <c r="C220">
        <v>20345531</v>
      </c>
      <c r="D220">
        <v>2000</v>
      </c>
    </row>
    <row r="221" spans="1:4" x14ac:dyDescent="0.25">
      <c r="A221" t="str">
        <f>T("   870332")</f>
        <v xml:space="preserve">   870332</v>
      </c>
      <c r="B221" t="s">
        <v>476</v>
      </c>
      <c r="C221">
        <v>11782399</v>
      </c>
      <c r="D221">
        <v>2400</v>
      </c>
    </row>
    <row r="222" spans="1:4" x14ac:dyDescent="0.25">
      <c r="A222" t="str">
        <f>T("   870421")</f>
        <v xml:space="preserve">   870421</v>
      </c>
      <c r="B222" t="s">
        <v>478</v>
      </c>
      <c r="C222">
        <v>28208561</v>
      </c>
      <c r="D222">
        <v>13675</v>
      </c>
    </row>
    <row r="223" spans="1:4" x14ac:dyDescent="0.25">
      <c r="A223" t="str">
        <f>T("   870422")</f>
        <v xml:space="preserve">   870422</v>
      </c>
      <c r="B223" t="s">
        <v>479</v>
      </c>
      <c r="C223">
        <v>11118637</v>
      </c>
      <c r="D223">
        <v>39500</v>
      </c>
    </row>
    <row r="224" spans="1:4" x14ac:dyDescent="0.25">
      <c r="A224" t="str">
        <f>T("   870431")</f>
        <v xml:space="preserve">   870431</v>
      </c>
      <c r="B224" t="s">
        <v>481</v>
      </c>
      <c r="C224">
        <v>36284688</v>
      </c>
      <c r="D224">
        <v>11820</v>
      </c>
    </row>
    <row r="225" spans="1:4" x14ac:dyDescent="0.25">
      <c r="A225" t="str">
        <f>T("   870540")</f>
        <v xml:space="preserve">   870540</v>
      </c>
      <c r="B225" t="str">
        <f>T("   Camions-bétonnières")</f>
        <v xml:space="preserve">   Camions-bétonnières</v>
      </c>
      <c r="C225">
        <v>2598936</v>
      </c>
      <c r="D225">
        <v>10000</v>
      </c>
    </row>
    <row r="226" spans="1:4" x14ac:dyDescent="0.25">
      <c r="A226" t="str">
        <f>T("   870899")</f>
        <v xml:space="preserve">   870899</v>
      </c>
      <c r="B22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226">
        <v>675802</v>
      </c>
      <c r="D226">
        <v>5250</v>
      </c>
    </row>
    <row r="227" spans="1:4" x14ac:dyDescent="0.25">
      <c r="A227" t="str">
        <f>T("   871200")</f>
        <v xml:space="preserve">   871200</v>
      </c>
      <c r="B227" t="str">
        <f>T("   BICYCLETTES ET AUTRES CYCLES, -Y.C. LES TRIPORTEURS-, SANS MOTEUR")</f>
        <v xml:space="preserve">   BICYCLETTES ET AUTRES CYCLES, -Y.C. LES TRIPORTEURS-, SANS MOTEUR</v>
      </c>
      <c r="C227">
        <v>20335</v>
      </c>
      <c r="D227">
        <v>20</v>
      </c>
    </row>
    <row r="228" spans="1:4" x14ac:dyDescent="0.25">
      <c r="A228" t="str">
        <f>T("   871631")</f>
        <v xml:space="preserve">   871631</v>
      </c>
      <c r="B228" t="str">
        <f>T("   Remorques-citernes ne circulant pas sur rails")</f>
        <v xml:space="preserve">   Remorques-citernes ne circulant pas sur rails</v>
      </c>
      <c r="C228">
        <v>4994390</v>
      </c>
      <c r="D228">
        <v>40000</v>
      </c>
    </row>
    <row r="229" spans="1:4" x14ac:dyDescent="0.25">
      <c r="A229" t="str">
        <f>T("   871680")</f>
        <v xml:space="preserve">   871680</v>
      </c>
      <c r="B229" t="str">
        <f>T("   Véhicules dirigés à la main et autres véhicules non automobiles, autres que remorques et semi-remorques")</f>
        <v xml:space="preserve">   Véhicules dirigés à la main et autres véhicules non automobiles, autres que remorques et semi-remorques</v>
      </c>
      <c r="C229">
        <v>60336</v>
      </c>
      <c r="D229">
        <v>15</v>
      </c>
    </row>
    <row r="230" spans="1:4" x14ac:dyDescent="0.25">
      <c r="A230" t="str">
        <f>T("   900490")</f>
        <v xml:space="preserve">   900490</v>
      </c>
      <c r="B230"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230">
        <v>246381</v>
      </c>
      <c r="D230">
        <v>223</v>
      </c>
    </row>
    <row r="231" spans="1:4" x14ac:dyDescent="0.25">
      <c r="A231" t="str">
        <f>T("   900911")</f>
        <v xml:space="preserve">   900911</v>
      </c>
      <c r="B231"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231">
        <v>746376</v>
      </c>
      <c r="D231">
        <v>129.15</v>
      </c>
    </row>
    <row r="232" spans="1:4" x14ac:dyDescent="0.25">
      <c r="A232" t="str">
        <f>T("   900999")</f>
        <v xml:space="preserve">   900999</v>
      </c>
      <c r="B232"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232">
        <v>585104</v>
      </c>
      <c r="D232">
        <v>16.399999999999999</v>
      </c>
    </row>
    <row r="233" spans="1:4" x14ac:dyDescent="0.25">
      <c r="A233" t="str">
        <f>T("   901720")</f>
        <v xml:space="preserve">   901720</v>
      </c>
      <c r="B233" t="str">
        <f>T("   Instruments de dessin, de traçage et de calcul (sauf tables et machines à dessiner ainsi que calculatrices)")</f>
        <v xml:space="preserve">   Instruments de dessin, de traçage et de calcul (sauf tables et machines à dessiner ainsi que calculatrices)</v>
      </c>
      <c r="C233">
        <v>1467048</v>
      </c>
      <c r="D233">
        <v>67</v>
      </c>
    </row>
    <row r="234" spans="1:4" x14ac:dyDescent="0.25">
      <c r="A234" t="str">
        <f>T("   910529")</f>
        <v xml:space="preserve">   910529</v>
      </c>
      <c r="B234" t="str">
        <f>T("   Pendules et horloges murales ne fonctionnant pas électriquement")</f>
        <v xml:space="preserve">   Pendules et horloges murales ne fonctionnant pas électriquement</v>
      </c>
      <c r="C234">
        <v>74299</v>
      </c>
      <c r="D234">
        <v>25</v>
      </c>
    </row>
    <row r="235" spans="1:4" x14ac:dyDescent="0.25">
      <c r="A235" t="str">
        <f>T("   940161")</f>
        <v xml:space="preserve">   940161</v>
      </c>
      <c r="B235" t="str">
        <f>T("   Sièges, avec bâti en bois, rembourrés (non transformables en lits)")</f>
        <v xml:space="preserve">   Sièges, avec bâti en bois, rembourrés (non transformables en lits)</v>
      </c>
      <c r="C235">
        <v>333767</v>
      </c>
      <c r="D235">
        <v>1843</v>
      </c>
    </row>
    <row r="236" spans="1:4" x14ac:dyDescent="0.25">
      <c r="A236" t="str">
        <f>T("   940179")</f>
        <v xml:space="preserve">   940179</v>
      </c>
      <c r="B236"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236">
        <v>1000000</v>
      </c>
      <c r="D236">
        <v>9000</v>
      </c>
    </row>
    <row r="237" spans="1:4" x14ac:dyDescent="0.25">
      <c r="A237" t="str">
        <f>T("   940320")</f>
        <v xml:space="preserve">   940320</v>
      </c>
      <c r="B237"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237">
        <v>56084</v>
      </c>
      <c r="D237">
        <v>35</v>
      </c>
    </row>
    <row r="238" spans="1:4" x14ac:dyDescent="0.25">
      <c r="A238" t="str">
        <f>T("   940330")</f>
        <v xml:space="preserve">   940330</v>
      </c>
      <c r="B238" t="str">
        <f>T("   Meubles de bureau en bois (sauf sièges)")</f>
        <v xml:space="preserve">   Meubles de bureau en bois (sauf sièges)</v>
      </c>
      <c r="C238">
        <v>319549</v>
      </c>
      <c r="D238">
        <v>140</v>
      </c>
    </row>
    <row r="239" spans="1:4" x14ac:dyDescent="0.25">
      <c r="A239" t="str">
        <f>T("   940350")</f>
        <v xml:space="preserve">   940350</v>
      </c>
      <c r="B239" t="str">
        <f>T("   Meubles pour chambres à coucher, en bois (sauf sièges)")</f>
        <v xml:space="preserve">   Meubles pour chambres à coucher, en bois (sauf sièges)</v>
      </c>
      <c r="C239">
        <v>110250</v>
      </c>
      <c r="D239">
        <v>45</v>
      </c>
    </row>
    <row r="240" spans="1:4" x14ac:dyDescent="0.25">
      <c r="A240" t="str">
        <f>T("   940360")</f>
        <v xml:space="preserve">   940360</v>
      </c>
      <c r="B240" t="str">
        <f>T("   Meubles en bois (autres que pour bureaux, cuisines ou chambres à coucher et autres que sièges)")</f>
        <v xml:space="preserve">   Meubles en bois (autres que pour bureaux, cuisines ou chambres à coucher et autres que sièges)</v>
      </c>
      <c r="C240">
        <v>2954768</v>
      </c>
      <c r="D240">
        <v>5768</v>
      </c>
    </row>
    <row r="241" spans="1:4" x14ac:dyDescent="0.25">
      <c r="A241" t="str">
        <f>T("   940380")</f>
        <v xml:space="preserve">   940380</v>
      </c>
      <c r="B241" t="str">
        <f>T("   Meubles en rotin, osier, bambou ou autres matières (sauf métal, bois et matières plastiques)")</f>
        <v xml:space="preserve">   Meubles en rotin, osier, bambou ou autres matières (sauf métal, bois et matières plastiques)</v>
      </c>
      <c r="C241">
        <v>11147905</v>
      </c>
      <c r="D241">
        <v>36398</v>
      </c>
    </row>
    <row r="242" spans="1:4" x14ac:dyDescent="0.25">
      <c r="A242" t="str">
        <f>T("   940429")</f>
        <v xml:space="preserve">   940429</v>
      </c>
      <c r="B242"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242">
        <v>297553</v>
      </c>
      <c r="D242">
        <v>1200</v>
      </c>
    </row>
    <row r="243" spans="1:4" x14ac:dyDescent="0.25">
      <c r="A243" t="str">
        <f>T("   950390")</f>
        <v xml:space="preserve">   950390</v>
      </c>
      <c r="B243" t="str">
        <f>T("   Jouets, n.d.a.")</f>
        <v xml:space="preserve">   Jouets, n.d.a.</v>
      </c>
      <c r="C243">
        <v>1031576</v>
      </c>
      <c r="D243">
        <v>1591</v>
      </c>
    </row>
    <row r="244" spans="1:4" x14ac:dyDescent="0.25">
      <c r="A244" t="str">
        <f>T("   950699")</f>
        <v xml:space="preserve">   950699</v>
      </c>
      <c r="B244" t="str">
        <f>T("   Articles et matériel pour le sport et les jeux de plein air, n.d.a.; piscines et pataugeoires")</f>
        <v xml:space="preserve">   Articles et matériel pour le sport et les jeux de plein air, n.d.a.; piscines et pataugeoires</v>
      </c>
      <c r="C244">
        <v>242726</v>
      </c>
      <c r="D244">
        <v>1244</v>
      </c>
    </row>
    <row r="245" spans="1:4" x14ac:dyDescent="0.25">
      <c r="A245" t="str">
        <f>T("   960390")</f>
        <v xml:space="preserve">   960390</v>
      </c>
      <c r="B245"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245">
        <v>599667</v>
      </c>
      <c r="D245">
        <v>1073</v>
      </c>
    </row>
    <row r="246" spans="1:4" x14ac:dyDescent="0.25">
      <c r="A246" t="str">
        <f>T("   960810")</f>
        <v xml:space="preserve">   960810</v>
      </c>
      <c r="B246" t="str">
        <f>T("   Stylos et crayons à bille")</f>
        <v xml:space="preserve">   Stylos et crayons à bille</v>
      </c>
      <c r="C246">
        <v>19828584</v>
      </c>
      <c r="D246">
        <v>7134</v>
      </c>
    </row>
    <row r="247" spans="1:4" x14ac:dyDescent="0.25">
      <c r="A247" t="str">
        <f>T("   970190")</f>
        <v xml:space="preserve">   970190</v>
      </c>
      <c r="B247" t="str">
        <f>T("   Collages et tableautins simil.")</f>
        <v xml:space="preserve">   Collages et tableautins simil.</v>
      </c>
      <c r="C247">
        <v>412564</v>
      </c>
      <c r="D247">
        <v>558</v>
      </c>
    </row>
    <row r="248" spans="1:4" x14ac:dyDescent="0.25">
      <c r="A248" t="str">
        <f>T("   970200")</f>
        <v xml:space="preserve">   970200</v>
      </c>
      <c r="B248" t="str">
        <f>T("   Gravures, estampes et lithographies originales")</f>
        <v xml:space="preserve">   Gravures, estampes et lithographies originales</v>
      </c>
      <c r="C248">
        <v>7642</v>
      </c>
      <c r="D248">
        <v>74</v>
      </c>
    </row>
    <row r="249" spans="1:4" x14ac:dyDescent="0.25">
      <c r="A249" t="str">
        <f>T("   970300")</f>
        <v xml:space="preserve">   970300</v>
      </c>
      <c r="B249" t="str">
        <f>T("   Productions originales de l'art statuaire ou de la sculpture, en toutes matières")</f>
        <v xml:space="preserve">   Productions originales de l'art statuaire ou de la sculpture, en toutes matières</v>
      </c>
      <c r="C249">
        <v>705567</v>
      </c>
      <c r="D249">
        <v>228</v>
      </c>
    </row>
    <row r="250" spans="1:4" x14ac:dyDescent="0.25">
      <c r="A250" t="str">
        <f>T("AF")</f>
        <v>AF</v>
      </c>
      <c r="B250" t="str">
        <f>T("Afghanistan")</f>
        <v>Afghanistan</v>
      </c>
    </row>
    <row r="251" spans="1:4" x14ac:dyDescent="0.25">
      <c r="A251" t="str">
        <f>T("   ZZ_Total_Produit_SH6")</f>
        <v xml:space="preserve">   ZZ_Total_Produit_SH6</v>
      </c>
      <c r="B251" t="str">
        <f>T("   ZZ_Total_Produit_SH6")</f>
        <v xml:space="preserve">   ZZ_Total_Produit_SH6</v>
      </c>
      <c r="C251">
        <v>6960547</v>
      </c>
      <c r="D251">
        <v>71.5</v>
      </c>
    </row>
    <row r="252" spans="1:4" x14ac:dyDescent="0.25">
      <c r="A252" t="str">
        <f>T("   392329")</f>
        <v xml:space="preserve">   392329</v>
      </c>
      <c r="B252" t="str">
        <f>T("   Sacs, sachets, pochettes et cornets, en matières plastiques (autres que les polymères de l'éthylène)")</f>
        <v xml:space="preserve">   Sacs, sachets, pochettes et cornets, en matières plastiques (autres que les polymères de l'éthylène)</v>
      </c>
      <c r="C252">
        <v>763800</v>
      </c>
      <c r="D252">
        <v>12</v>
      </c>
    </row>
    <row r="253" spans="1:4" x14ac:dyDescent="0.25">
      <c r="A253" t="str">
        <f>T("   441400")</f>
        <v xml:space="preserve">   441400</v>
      </c>
      <c r="B253" t="str">
        <f>T("   Cadres en bois pour tableaux, photographies, miroirs ou objets simil.")</f>
        <v xml:space="preserve">   Cadres en bois pour tableaux, photographies, miroirs ou objets simil.</v>
      </c>
      <c r="C253">
        <v>322750</v>
      </c>
      <c r="D253">
        <v>9</v>
      </c>
    </row>
    <row r="254" spans="1:4" x14ac:dyDescent="0.25">
      <c r="A254" t="str">
        <f>T("   820810")</f>
        <v xml:space="preserve">   820810</v>
      </c>
      <c r="B254" t="str">
        <f>T("   Couteaux et lames tranchantes, en métaux communs, pour machines ou pour appareils mécaniques, pour le travail des métaux")</f>
        <v xml:space="preserve">   Couteaux et lames tranchantes, en métaux communs, pour machines ou pour appareils mécaniques, pour le travail des métaux</v>
      </c>
      <c r="C254">
        <v>850914</v>
      </c>
      <c r="D254">
        <v>8</v>
      </c>
    </row>
    <row r="255" spans="1:4" x14ac:dyDescent="0.25">
      <c r="A255" t="str">
        <f>T("   843149")</f>
        <v xml:space="preserve">   843149</v>
      </c>
      <c r="B255" t="str">
        <f>T("   Parties de machines et appareils du n° 8426, 8429 ou 8430, n.d.a.")</f>
        <v xml:space="preserve">   Parties de machines et appareils du n° 8426, 8429 ou 8430, n.d.a.</v>
      </c>
      <c r="C255">
        <v>1872976</v>
      </c>
      <c r="D255">
        <v>35</v>
      </c>
    </row>
    <row r="256" spans="1:4" x14ac:dyDescent="0.25">
      <c r="A256" t="str">
        <f>T("   851780")</f>
        <v xml:space="preserve">   851780</v>
      </c>
      <c r="B256" t="s">
        <v>453</v>
      </c>
      <c r="C256">
        <v>1138934</v>
      </c>
      <c r="D256">
        <v>7</v>
      </c>
    </row>
    <row r="257" spans="1:4" x14ac:dyDescent="0.25">
      <c r="A257" t="str">
        <f>T("   854210")</f>
        <v xml:space="preserve">   854210</v>
      </c>
      <c r="B257" t="str">
        <f>T("   Cartes munies d'un circuit intégré électronique [cartes intelligentes], munies ou non d'une piste magnétique")</f>
        <v xml:space="preserve">   Cartes munies d'un circuit intégré électronique [cartes intelligentes], munies ou non d'une piste magnétique</v>
      </c>
      <c r="C257">
        <v>2011173</v>
      </c>
      <c r="D257">
        <v>0.5</v>
      </c>
    </row>
    <row r="258" spans="1:4" x14ac:dyDescent="0.25">
      <c r="A258" t="str">
        <f>T("AL")</f>
        <v>AL</v>
      </c>
      <c r="B258" t="str">
        <f>T("Albanie")</f>
        <v>Albanie</v>
      </c>
    </row>
    <row r="259" spans="1:4" x14ac:dyDescent="0.25">
      <c r="A259" t="str">
        <f>T("   ZZ_Total_Produit_SH6")</f>
        <v xml:space="preserve">   ZZ_Total_Produit_SH6</v>
      </c>
      <c r="B259" t="str">
        <f>T("   ZZ_Total_Produit_SH6")</f>
        <v xml:space="preserve">   ZZ_Total_Produit_SH6</v>
      </c>
      <c r="C259">
        <v>24380671</v>
      </c>
      <c r="D259">
        <v>1898</v>
      </c>
    </row>
    <row r="260" spans="1:4" x14ac:dyDescent="0.25">
      <c r="A260" t="str">
        <f>T("   382200")</f>
        <v xml:space="preserve">   382200</v>
      </c>
      <c r="B260" t="s">
        <v>122</v>
      </c>
      <c r="C260">
        <v>867009</v>
      </c>
      <c r="D260">
        <v>13</v>
      </c>
    </row>
    <row r="261" spans="1:4" x14ac:dyDescent="0.25">
      <c r="A261" t="str">
        <f>T("   841690")</f>
        <v xml:space="preserve">   841690</v>
      </c>
      <c r="B261" t="str">
        <f>T("   PARTIES DE BR¹LEURS POUR L'ALIMENTATION DES FOYERS ET DES FOYERS AUTOMATIQUES, DE LEURS AVANT-FOYERS, GRILLES MÉCANIQUES, DISPOSITIFS MÉCANIQUES POUR L'ÉVACUATION DES CENDRES ET DISPOSITIFS SIMIL., N.D.A.")</f>
        <v xml:space="preserve">   PARTIES DE BR¹LEURS POUR L'ALIMENTATION DES FOYERS ET DES FOYERS AUTOMATIQUES, DE LEURS AVANT-FOYERS, GRILLES MÉCANIQUES, DISPOSITIFS MÉCANIQUES POUR L'ÉVACUATION DES CENDRES ET DISPOSITIFS SIMIL., N.D.A.</v>
      </c>
      <c r="C261">
        <v>4009754</v>
      </c>
      <c r="D261">
        <v>22</v>
      </c>
    </row>
    <row r="262" spans="1:4" x14ac:dyDescent="0.25">
      <c r="A262" t="str">
        <f>T("   870421")</f>
        <v xml:space="preserve">   870421</v>
      </c>
      <c r="B262" t="s">
        <v>478</v>
      </c>
      <c r="C262">
        <v>1200000</v>
      </c>
      <c r="D262">
        <v>1860</v>
      </c>
    </row>
    <row r="263" spans="1:4" x14ac:dyDescent="0.25">
      <c r="A263" t="str">
        <f>T("   901180")</f>
        <v xml:space="preserve">   901180</v>
      </c>
      <c r="B263" t="s">
        <v>492</v>
      </c>
      <c r="C263">
        <v>1039041</v>
      </c>
      <c r="D263">
        <v>1</v>
      </c>
    </row>
    <row r="264" spans="1:4" x14ac:dyDescent="0.25">
      <c r="A264" t="str">
        <f>T("   901890")</f>
        <v xml:space="preserve">   901890</v>
      </c>
      <c r="B264" t="str">
        <f>T("   Instruments et appareils pour la médecine, la chirurgie ou l'art vétérinaire, n.d.a.")</f>
        <v xml:space="preserve">   Instruments et appareils pour la médecine, la chirurgie ou l'art vétérinaire, n.d.a.</v>
      </c>
      <c r="C264">
        <v>17264867</v>
      </c>
      <c r="D264">
        <v>2</v>
      </c>
    </row>
    <row r="265" spans="1:4" x14ac:dyDescent="0.25">
      <c r="A265" t="str">
        <f>T("AM")</f>
        <v>AM</v>
      </c>
      <c r="B265" t="str">
        <f>T("Arménie")</f>
        <v>Arménie</v>
      </c>
    </row>
    <row r="266" spans="1:4" x14ac:dyDescent="0.25">
      <c r="A266" t="str">
        <f>T("   ZZ_Total_Produit_SH6")</f>
        <v xml:space="preserve">   ZZ_Total_Produit_SH6</v>
      </c>
      <c r="B266" t="str">
        <f>T("   ZZ_Total_Produit_SH6")</f>
        <v xml:space="preserve">   ZZ_Total_Produit_SH6</v>
      </c>
      <c r="C266">
        <v>32564405</v>
      </c>
      <c r="D266">
        <v>15267</v>
      </c>
    </row>
    <row r="267" spans="1:4" x14ac:dyDescent="0.25">
      <c r="A267" t="str">
        <f>T("   300490")</f>
        <v xml:space="preserve">   300490</v>
      </c>
      <c r="B267" t="s">
        <v>79</v>
      </c>
      <c r="C267">
        <v>10302796</v>
      </c>
      <c r="D267">
        <v>313</v>
      </c>
    </row>
    <row r="268" spans="1:4" x14ac:dyDescent="0.25">
      <c r="A268" t="str">
        <f>T("   300590")</f>
        <v xml:space="preserve">   300590</v>
      </c>
      <c r="B268" t="s">
        <v>80</v>
      </c>
      <c r="C268">
        <v>1140432</v>
      </c>
      <c r="D268">
        <v>200</v>
      </c>
    </row>
    <row r="269" spans="1:4" x14ac:dyDescent="0.25">
      <c r="A269" t="str">
        <f>T("   844390")</f>
        <v xml:space="preserve">   844390</v>
      </c>
      <c r="B269" t="str">
        <f>T("   Parties de machines et appareils à imprimer et de leur machines et appareils auxiliaires, n.d.a.")</f>
        <v xml:space="preserve">   Parties de machines et appareils à imprimer et de leur machines et appareils auxiliaires, n.d.a.</v>
      </c>
      <c r="C269">
        <v>938416</v>
      </c>
      <c r="D269">
        <v>250</v>
      </c>
    </row>
    <row r="270" spans="1:4" x14ac:dyDescent="0.25">
      <c r="A270" t="str">
        <f>T("   847190")</f>
        <v xml:space="preserve">   847190</v>
      </c>
      <c r="B27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270">
        <v>1614974</v>
      </c>
      <c r="D270">
        <v>240</v>
      </c>
    </row>
    <row r="271" spans="1:4" x14ac:dyDescent="0.25">
      <c r="A271" t="str">
        <f>T("   870210")</f>
        <v xml:space="preserve">   870210</v>
      </c>
      <c r="B271" t="s">
        <v>469</v>
      </c>
      <c r="C271">
        <v>1255960</v>
      </c>
      <c r="D271">
        <v>1125</v>
      </c>
    </row>
    <row r="272" spans="1:4" x14ac:dyDescent="0.25">
      <c r="A272" t="str">
        <f>T("   870322")</f>
        <v xml:space="preserve">   870322</v>
      </c>
      <c r="B272" t="s">
        <v>472</v>
      </c>
      <c r="C272">
        <v>17311827</v>
      </c>
      <c r="D272">
        <v>13139</v>
      </c>
    </row>
    <row r="273" spans="1:4" x14ac:dyDescent="0.25">
      <c r="A273" t="str">
        <f>T("AN")</f>
        <v>AN</v>
      </c>
      <c r="B273" t="str">
        <f>T("Antilles Néerlandaises")</f>
        <v>Antilles Néerlandaises</v>
      </c>
    </row>
    <row r="274" spans="1:4" x14ac:dyDescent="0.25">
      <c r="A274" t="str">
        <f>T("   ZZ_Total_Produit_SH6")</f>
        <v xml:space="preserve">   ZZ_Total_Produit_SH6</v>
      </c>
      <c r="B274" t="str">
        <f>T("   ZZ_Total_Produit_SH6")</f>
        <v xml:space="preserve">   ZZ_Total_Produit_SH6</v>
      </c>
      <c r="C274">
        <v>419799877.09200001</v>
      </c>
      <c r="D274">
        <v>1517251</v>
      </c>
    </row>
    <row r="275" spans="1:4" x14ac:dyDescent="0.25">
      <c r="A275" t="str">
        <f>T("   100630")</f>
        <v xml:space="preserve">   100630</v>
      </c>
      <c r="B275" t="str">
        <f>T("   Riz semi-blanchi ou blanchi, même poli ou glacé")</f>
        <v xml:space="preserve">   Riz semi-blanchi ou blanchi, même poli ou glacé</v>
      </c>
      <c r="C275">
        <v>414138699.09200001</v>
      </c>
      <c r="D275">
        <v>1504200</v>
      </c>
    </row>
    <row r="276" spans="1:4" x14ac:dyDescent="0.25">
      <c r="A276" t="str">
        <f>T("   621040")</f>
        <v xml:space="preserve">   621040</v>
      </c>
      <c r="B276" t="s">
        <v>265</v>
      </c>
      <c r="C276">
        <v>1967880</v>
      </c>
      <c r="D276">
        <v>7000</v>
      </c>
    </row>
    <row r="277" spans="1:4" x14ac:dyDescent="0.25">
      <c r="A277" t="str">
        <f>T("   630239")</f>
        <v xml:space="preserve">   630239</v>
      </c>
      <c r="B277"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277">
        <v>655960</v>
      </c>
      <c r="D277">
        <v>5700</v>
      </c>
    </row>
    <row r="278" spans="1:4" x14ac:dyDescent="0.25">
      <c r="A278" t="str">
        <f>T("   843149")</f>
        <v xml:space="preserve">   843149</v>
      </c>
      <c r="B278" t="str">
        <f>T("   Parties de machines et appareils du n° 8426, 8429 ou 8430, n.d.a.")</f>
        <v xml:space="preserve">   Parties de machines et appareils du n° 8426, 8429 ou 8430, n.d.a.</v>
      </c>
      <c r="C278">
        <v>3037338</v>
      </c>
      <c r="D278">
        <v>351</v>
      </c>
    </row>
    <row r="279" spans="1:4" x14ac:dyDescent="0.25">
      <c r="A279" t="str">
        <f>T("AO")</f>
        <v>AO</v>
      </c>
      <c r="B279" t="str">
        <f>T("Angola")</f>
        <v>Angola</v>
      </c>
    </row>
    <row r="280" spans="1:4" x14ac:dyDescent="0.25">
      <c r="A280" t="str">
        <f>T("   ZZ_Total_Produit_SH6")</f>
        <v xml:space="preserve">   ZZ_Total_Produit_SH6</v>
      </c>
      <c r="B280" t="str">
        <f>T("   ZZ_Total_Produit_SH6")</f>
        <v xml:space="preserve">   ZZ_Total_Produit_SH6</v>
      </c>
      <c r="C280">
        <v>31373607</v>
      </c>
      <c r="D280">
        <v>56080</v>
      </c>
    </row>
    <row r="281" spans="1:4" x14ac:dyDescent="0.25">
      <c r="A281" t="str">
        <f>T("   271113")</f>
        <v xml:space="preserve">   271113</v>
      </c>
      <c r="B281" t="str">
        <f>T("   Butanes, liquéfiés (à l'excl. des butanes d'une pureté &gt;= 95% en n-butane ou en isobutane)")</f>
        <v xml:space="preserve">   Butanes, liquéfiés (à l'excl. des butanes d'une pureté &gt;= 95% en n-butane ou en isobutane)</v>
      </c>
      <c r="C281">
        <v>21447337</v>
      </c>
      <c r="D281">
        <v>42019</v>
      </c>
    </row>
    <row r="282" spans="1:4" x14ac:dyDescent="0.25">
      <c r="A282" t="str">
        <f>T("   630900")</f>
        <v xml:space="preserve">   630900</v>
      </c>
      <c r="B282" t="s">
        <v>273</v>
      </c>
      <c r="C282">
        <v>9926270</v>
      </c>
      <c r="D282">
        <v>14061</v>
      </c>
    </row>
    <row r="283" spans="1:4" x14ac:dyDescent="0.25">
      <c r="A283" t="str">
        <f>T("AR")</f>
        <v>AR</v>
      </c>
      <c r="B283" t="str">
        <f>T("Argentine")</f>
        <v>Argentine</v>
      </c>
    </row>
    <row r="284" spans="1:4" x14ac:dyDescent="0.25">
      <c r="A284" t="str">
        <f>T("   ZZ_Total_Produit_SH6")</f>
        <v xml:space="preserve">   ZZ_Total_Produit_SH6</v>
      </c>
      <c r="B284" t="str">
        <f>T("   ZZ_Total_Produit_SH6")</f>
        <v xml:space="preserve">   ZZ_Total_Produit_SH6</v>
      </c>
      <c r="C284">
        <v>731005162</v>
      </c>
      <c r="D284">
        <v>1813790</v>
      </c>
    </row>
    <row r="285" spans="1:4" x14ac:dyDescent="0.25">
      <c r="A285" t="str">
        <f>T("   020711")</f>
        <v xml:space="preserve">   020711</v>
      </c>
      <c r="B285" t="str">
        <f>T("   COQS ET POULES [DES ESPÈCES DOMESTIQUES], NON-DÉCOUPÉS EN MORCEAUX, FRAIS OU RÉFRIGÉRÉS")</f>
        <v xml:space="preserve">   COQS ET POULES [DES ESPÈCES DOMESTIQUES], NON-DÉCOUPÉS EN MORCEAUX, FRAIS OU RÉFRIGÉRÉS</v>
      </c>
      <c r="C285">
        <v>16172000</v>
      </c>
      <c r="D285">
        <v>26000</v>
      </c>
    </row>
    <row r="286" spans="1:4" x14ac:dyDescent="0.25">
      <c r="A286" t="str">
        <f>T("   020712")</f>
        <v xml:space="preserve">   020712</v>
      </c>
      <c r="B286" t="str">
        <f>T("   COQS ET POULES [DES ESPÈCES DOMESTIQUES], NON-DÉCOUPÉS EN MORCEAUX, CONGELÉS")</f>
        <v xml:space="preserve">   COQS ET POULES [DES ESPÈCES DOMESTIQUES], NON-DÉCOUPÉS EN MORCEAUX, CONGELÉS</v>
      </c>
      <c r="C286">
        <v>139007978</v>
      </c>
      <c r="D286">
        <v>231040</v>
      </c>
    </row>
    <row r="287" spans="1:4" x14ac:dyDescent="0.25">
      <c r="A287" t="str">
        <f>T("   020714")</f>
        <v xml:space="preserve">   020714</v>
      </c>
      <c r="B287" t="str">
        <f>T("   Morceaux et abats comestibles de coqs et de poules [des espèces domestiques], congelés")</f>
        <v xml:space="preserve">   Morceaux et abats comestibles de coqs et de poules [des espèces domestiques], congelés</v>
      </c>
      <c r="C287">
        <v>15001805</v>
      </c>
      <c r="D287">
        <v>27040</v>
      </c>
    </row>
    <row r="288" spans="1:4" x14ac:dyDescent="0.25">
      <c r="A288" t="str">
        <f>T("   030379")</f>
        <v xml:space="preserve">   030379</v>
      </c>
      <c r="B288" t="s">
        <v>17</v>
      </c>
      <c r="C288">
        <v>107181851</v>
      </c>
      <c r="D288">
        <v>446100</v>
      </c>
    </row>
    <row r="289" spans="1:4" x14ac:dyDescent="0.25">
      <c r="A289" t="str">
        <f>T("   040221")</f>
        <v xml:space="preserve">   040221</v>
      </c>
      <c r="B289"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289">
        <v>94819018</v>
      </c>
      <c r="D289">
        <v>50800</v>
      </c>
    </row>
    <row r="290" spans="1:4" x14ac:dyDescent="0.25">
      <c r="A290" t="str">
        <f>T("   080810")</f>
        <v xml:space="preserve">   080810</v>
      </c>
      <c r="B290" t="str">
        <f>T("   Pommes, fraîches")</f>
        <v xml:space="preserve">   Pommes, fraîches</v>
      </c>
      <c r="C290">
        <v>50002432</v>
      </c>
      <c r="D290">
        <v>156995</v>
      </c>
    </row>
    <row r="291" spans="1:4" x14ac:dyDescent="0.25">
      <c r="A291" t="str">
        <f>T("   100590")</f>
        <v xml:space="preserve">   100590</v>
      </c>
      <c r="B291" t="str">
        <f>T("   Maïs (autre que de semence)")</f>
        <v xml:space="preserve">   Maïs (autre que de semence)</v>
      </c>
      <c r="C291">
        <v>192040741</v>
      </c>
      <c r="D291">
        <v>690806</v>
      </c>
    </row>
    <row r="292" spans="1:4" x14ac:dyDescent="0.25">
      <c r="A292" t="str">
        <f>T("   300490")</f>
        <v xml:space="preserve">   300490</v>
      </c>
      <c r="B292" t="s">
        <v>79</v>
      </c>
      <c r="C292">
        <v>91324063</v>
      </c>
      <c r="D292">
        <v>23859</v>
      </c>
    </row>
    <row r="293" spans="1:4" x14ac:dyDescent="0.25">
      <c r="A293" t="str">
        <f>T("   401039")</f>
        <v xml:space="preserve">   401039</v>
      </c>
      <c r="B293" t="s">
        <v>151</v>
      </c>
      <c r="C293">
        <v>240750</v>
      </c>
      <c r="D293">
        <v>6</v>
      </c>
    </row>
    <row r="294" spans="1:4" x14ac:dyDescent="0.25">
      <c r="A294" t="str">
        <f>T("   401693")</f>
        <v xml:space="preserve">   401693</v>
      </c>
      <c r="B294" t="str">
        <f>T("   Joints en caoutchouc vulcanisé non durci (à l'excl. des articles en caoutchouc alvéolaire)")</f>
        <v xml:space="preserve">   Joints en caoutchouc vulcanisé non durci (à l'excl. des articles en caoutchouc alvéolaire)</v>
      </c>
      <c r="C294">
        <v>72543</v>
      </c>
      <c r="D294">
        <v>1</v>
      </c>
    </row>
    <row r="295" spans="1:4" x14ac:dyDescent="0.25">
      <c r="A295" t="str">
        <f>T("   441111")</f>
        <v xml:space="preserve">   441111</v>
      </c>
      <c r="B295" t="s">
        <v>171</v>
      </c>
      <c r="C295">
        <v>20008092</v>
      </c>
      <c r="D295">
        <v>158124</v>
      </c>
    </row>
    <row r="296" spans="1:4" x14ac:dyDescent="0.25">
      <c r="A296" t="str">
        <f>T("   841360")</f>
        <v xml:space="preserve">   841360</v>
      </c>
      <c r="B296" t="s">
        <v>396</v>
      </c>
      <c r="C296">
        <v>386675</v>
      </c>
      <c r="D296">
        <v>5</v>
      </c>
    </row>
    <row r="297" spans="1:4" x14ac:dyDescent="0.25">
      <c r="A297" t="str">
        <f>T("   842123")</f>
        <v xml:space="preserve">   842123</v>
      </c>
      <c r="B297"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297">
        <v>157968</v>
      </c>
      <c r="D297">
        <v>10</v>
      </c>
    </row>
    <row r="298" spans="1:4" x14ac:dyDescent="0.25">
      <c r="A298" t="str">
        <f>T("   842199")</f>
        <v xml:space="preserve">   842199</v>
      </c>
      <c r="B298" t="str">
        <f>T("   Parties d'appareils pour la filtration ou l'épuration des liquides ou des gaz, n.d.a.")</f>
        <v xml:space="preserve">   Parties d'appareils pour la filtration ou l'épuration des liquides ou des gaz, n.d.a.</v>
      </c>
      <c r="C298">
        <v>344274</v>
      </c>
      <c r="D298">
        <v>14</v>
      </c>
    </row>
    <row r="299" spans="1:4" x14ac:dyDescent="0.25">
      <c r="A299" t="str">
        <f>T("   843149")</f>
        <v xml:space="preserve">   843149</v>
      </c>
      <c r="B299" t="str">
        <f>T("   Parties de machines et appareils du n° 8426, 8429 ou 8430, n.d.a.")</f>
        <v xml:space="preserve">   Parties de machines et appareils du n° 8426, 8429 ou 8430, n.d.a.</v>
      </c>
      <c r="C299">
        <v>2224334</v>
      </c>
      <c r="D299">
        <v>170</v>
      </c>
    </row>
    <row r="300" spans="1:4" x14ac:dyDescent="0.25">
      <c r="A300" t="str">
        <f>T("   847190")</f>
        <v xml:space="preserve">   847190</v>
      </c>
      <c r="B30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00">
        <v>700638</v>
      </c>
      <c r="D300">
        <v>298</v>
      </c>
    </row>
    <row r="301" spans="1:4" x14ac:dyDescent="0.25">
      <c r="A301" t="str">
        <f>T("   852812")</f>
        <v xml:space="preserve">   852812</v>
      </c>
      <c r="B301"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301">
        <v>120000</v>
      </c>
      <c r="D301">
        <v>22</v>
      </c>
    </row>
    <row r="302" spans="1:4" x14ac:dyDescent="0.25">
      <c r="A302" t="str">
        <f>T("   870421")</f>
        <v xml:space="preserve">   870421</v>
      </c>
      <c r="B302" t="s">
        <v>478</v>
      </c>
      <c r="C302">
        <v>1200000</v>
      </c>
      <c r="D302">
        <v>2500</v>
      </c>
    </row>
    <row r="303" spans="1:4" x14ac:dyDescent="0.25">
      <c r="A303" t="str">
        <f>T("AS")</f>
        <v>AS</v>
      </c>
      <c r="B303" t="str">
        <f>T("Samoa Américaines")</f>
        <v>Samoa Américaines</v>
      </c>
    </row>
    <row r="304" spans="1:4" x14ac:dyDescent="0.25">
      <c r="A304" t="str">
        <f>T("   ZZ_Total_Produit_SH6")</f>
        <v xml:space="preserve">   ZZ_Total_Produit_SH6</v>
      </c>
      <c r="B304" t="str">
        <f>T("   ZZ_Total_Produit_SH6")</f>
        <v xml:space="preserve">   ZZ_Total_Produit_SH6</v>
      </c>
      <c r="C304">
        <v>5800423</v>
      </c>
      <c r="D304">
        <v>69</v>
      </c>
    </row>
    <row r="305" spans="1:4" x14ac:dyDescent="0.25">
      <c r="A305" t="str">
        <f>T("   847190")</f>
        <v xml:space="preserve">   847190</v>
      </c>
      <c r="B305"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05">
        <v>5800423</v>
      </c>
      <c r="D305">
        <v>69</v>
      </c>
    </row>
    <row r="306" spans="1:4" x14ac:dyDescent="0.25">
      <c r="A306" t="str">
        <f>T("AT")</f>
        <v>AT</v>
      </c>
      <c r="B306" t="str">
        <f>T("Autriche")</f>
        <v>Autriche</v>
      </c>
    </row>
    <row r="307" spans="1:4" x14ac:dyDescent="0.25">
      <c r="A307" t="str">
        <f>T("   ZZ_Total_Produit_SH6")</f>
        <v xml:space="preserve">   ZZ_Total_Produit_SH6</v>
      </c>
      <c r="B307" t="str">
        <f>T("   ZZ_Total_Produit_SH6")</f>
        <v xml:space="preserve">   ZZ_Total_Produit_SH6</v>
      </c>
      <c r="C307">
        <v>740806084</v>
      </c>
      <c r="D307">
        <v>387495.1</v>
      </c>
    </row>
    <row r="308" spans="1:4" x14ac:dyDescent="0.25">
      <c r="A308" t="str">
        <f>T("   220210")</f>
        <v xml:space="preserve">   220210</v>
      </c>
      <c r="B308"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308">
        <v>23572579</v>
      </c>
      <c r="D308">
        <v>147987</v>
      </c>
    </row>
    <row r="309" spans="1:4" x14ac:dyDescent="0.25">
      <c r="A309" t="str">
        <f>T("   220290")</f>
        <v xml:space="preserve">   220290</v>
      </c>
      <c r="B309" t="str">
        <f>T("   BOISSONS NON-ALCOOLIQUES (À L'EXCL. DES EAUX, DES JUS DE FRUITS OU DE LÉGUMES AINSI QUE DU LAIT)")</f>
        <v xml:space="preserve">   BOISSONS NON-ALCOOLIQUES (À L'EXCL. DES EAUX, DES JUS DE FRUITS OU DE LÉGUMES AINSI QUE DU LAIT)</v>
      </c>
      <c r="C309">
        <v>62079923</v>
      </c>
      <c r="D309">
        <v>184295</v>
      </c>
    </row>
    <row r="310" spans="1:4" x14ac:dyDescent="0.25">
      <c r="A310" t="str">
        <f>T("   271019")</f>
        <v xml:space="preserve">   271019</v>
      </c>
      <c r="B310" t="str">
        <f>T("   Huiles moyennes et préparations, de pétrole ou de minéraux bitumineux, n.d.a.")</f>
        <v xml:space="preserve">   Huiles moyennes et préparations, de pétrole ou de minéraux bitumineux, n.d.a.</v>
      </c>
      <c r="C310">
        <v>8510832</v>
      </c>
      <c r="D310">
        <v>188</v>
      </c>
    </row>
    <row r="311" spans="1:4" x14ac:dyDescent="0.25">
      <c r="A311" t="str">
        <f>T("   392113")</f>
        <v xml:space="preserve">   392113</v>
      </c>
      <c r="B311" t="s">
        <v>139</v>
      </c>
      <c r="C311">
        <v>3640644</v>
      </c>
      <c r="D311">
        <v>7815</v>
      </c>
    </row>
    <row r="312" spans="1:4" x14ac:dyDescent="0.25">
      <c r="A312" t="str">
        <f>T("   392490")</f>
        <v xml:space="preserve">   392490</v>
      </c>
      <c r="B312" t="s">
        <v>143</v>
      </c>
      <c r="C312">
        <v>24927</v>
      </c>
      <c r="D312">
        <v>70</v>
      </c>
    </row>
    <row r="313" spans="1:4" x14ac:dyDescent="0.25">
      <c r="A313" t="str">
        <f>T("   392690")</f>
        <v xml:space="preserve">   392690</v>
      </c>
      <c r="B313" t="str">
        <f>T("   Ouvrages en matières plastiques et ouvrages en autres matières du n° 3901 à 3914, n.d.a.")</f>
        <v xml:space="preserve">   Ouvrages en matières plastiques et ouvrages en autres matières du n° 3901 à 3914, n.d.a.</v>
      </c>
      <c r="C313">
        <v>498529</v>
      </c>
      <c r="D313">
        <v>465</v>
      </c>
    </row>
    <row r="314" spans="1:4" x14ac:dyDescent="0.25">
      <c r="A314" t="str">
        <f>T("   400911")</f>
        <v xml:space="preserve">   400911</v>
      </c>
      <c r="B314"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314">
        <v>10151998</v>
      </c>
      <c r="D314">
        <v>508</v>
      </c>
    </row>
    <row r="315" spans="1:4" x14ac:dyDescent="0.25">
      <c r="A315" t="str">
        <f>T("   401039")</f>
        <v xml:space="preserve">   401039</v>
      </c>
      <c r="B315" t="s">
        <v>151</v>
      </c>
      <c r="C315">
        <v>596701</v>
      </c>
      <c r="D315">
        <v>3</v>
      </c>
    </row>
    <row r="316" spans="1:4" x14ac:dyDescent="0.25">
      <c r="A316" t="str">
        <f>T("   401693")</f>
        <v xml:space="preserve">   401693</v>
      </c>
      <c r="B316" t="str">
        <f>T("   Joints en caoutchouc vulcanisé non durci (à l'excl. des articles en caoutchouc alvéolaire)")</f>
        <v xml:space="preserve">   Joints en caoutchouc vulcanisé non durci (à l'excl. des articles en caoutchouc alvéolaire)</v>
      </c>
      <c r="C316">
        <v>3697541</v>
      </c>
      <c r="D316">
        <v>101</v>
      </c>
    </row>
    <row r="317" spans="1:4" x14ac:dyDescent="0.25">
      <c r="A317" t="str">
        <f>T("   482390")</f>
        <v xml:space="preserve">   482390</v>
      </c>
      <c r="B317" t="s">
        <v>216</v>
      </c>
      <c r="C317">
        <v>36078</v>
      </c>
      <c r="D317">
        <v>102</v>
      </c>
    </row>
    <row r="318" spans="1:4" x14ac:dyDescent="0.25">
      <c r="A318" t="str">
        <f>T("   491110")</f>
        <v xml:space="preserve">   491110</v>
      </c>
      <c r="B318" t="str">
        <f>T("   Imprimés publicitaires, catalogues commerciaux et simil.")</f>
        <v xml:space="preserve">   Imprimés publicitaires, catalogues commerciaux et simil.</v>
      </c>
      <c r="C318">
        <v>1968</v>
      </c>
      <c r="D318">
        <v>3</v>
      </c>
    </row>
    <row r="319" spans="1:4" x14ac:dyDescent="0.25">
      <c r="A319" t="str">
        <f>T("   491191")</f>
        <v xml:space="preserve">   491191</v>
      </c>
      <c r="B319" t="str">
        <f>T("   Images, gravures et photographies, n.d.a.")</f>
        <v xml:space="preserve">   Images, gravures et photographies, n.d.a.</v>
      </c>
      <c r="C319">
        <v>33454</v>
      </c>
      <c r="D319">
        <v>90</v>
      </c>
    </row>
    <row r="320" spans="1:4" x14ac:dyDescent="0.25">
      <c r="A320" t="str">
        <f>T("   560290")</f>
        <v xml:space="preserve">   560290</v>
      </c>
      <c r="B320" t="str">
        <f>T("   Feutres, imprégnés, enduits, recouverts ou stratifiés (à l'excl. des feutres aiguilletés et des produits cousus-tricotés)")</f>
        <v xml:space="preserve">   Feutres, imprégnés, enduits, recouverts ou stratifiés (à l'excl. des feutres aiguilletés et des produits cousus-tricotés)</v>
      </c>
      <c r="C320">
        <v>2646314</v>
      </c>
      <c r="D320">
        <v>110</v>
      </c>
    </row>
    <row r="321" spans="1:4" x14ac:dyDescent="0.25">
      <c r="A321" t="str">
        <f>T("   591132")</f>
        <v xml:space="preserve">   591132</v>
      </c>
      <c r="B321" t="str">
        <f>T("   TISSUS ET FEUTRES SANS FIN OU MUNIS DE MOYENS DE JONCTION, DES TYPES UTILISÉS SUR LES MACHINES À PAPIER OU SUR DES MACHINES SIMIL. [À PÂTE, À AMIANTE-CIMENT, P.EX.], D'UN POIDS &gt;= 650 G/M²")</f>
        <v xml:space="preserve">   TISSUS ET FEUTRES SANS FIN OU MUNIS DE MOYENS DE JONCTION, DES TYPES UTILISÉS SUR LES MACHINES À PAPIER OU SUR DES MACHINES SIMIL. [À PÂTE, À AMIANTE-CIMENT, P.EX.], D'UN POIDS &gt;= 650 G/M²</v>
      </c>
      <c r="C321">
        <v>14162826</v>
      </c>
      <c r="D321">
        <v>478</v>
      </c>
    </row>
    <row r="322" spans="1:4" x14ac:dyDescent="0.25">
      <c r="A322" t="str">
        <f>T("   610910")</f>
        <v xml:space="preserve">   610910</v>
      </c>
      <c r="B322" t="str">
        <f>T("   T-shirts et maillots de corps, en bonneterie, de coton,")</f>
        <v xml:space="preserve">   T-shirts et maillots de corps, en bonneterie, de coton,</v>
      </c>
      <c r="C322">
        <v>64940</v>
      </c>
      <c r="D322">
        <v>181</v>
      </c>
    </row>
    <row r="323" spans="1:4" x14ac:dyDescent="0.25">
      <c r="A323" t="str">
        <f>T("   621490")</f>
        <v xml:space="preserve">   621490</v>
      </c>
      <c r="B323"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323">
        <v>17055</v>
      </c>
      <c r="D323">
        <v>48</v>
      </c>
    </row>
    <row r="324" spans="1:4" x14ac:dyDescent="0.25">
      <c r="A324" t="str">
        <f>T("   630790")</f>
        <v xml:space="preserve">   630790</v>
      </c>
      <c r="B324" t="str">
        <f>T("   Articles de matières textiles, confectionnés, y.c. les patrons de vêtements n.d.a.")</f>
        <v xml:space="preserve">   Articles de matières textiles, confectionnés, y.c. les patrons de vêtements n.d.a.</v>
      </c>
      <c r="C324">
        <v>63878</v>
      </c>
      <c r="D324">
        <v>67</v>
      </c>
    </row>
    <row r="325" spans="1:4" x14ac:dyDescent="0.25">
      <c r="A325" t="str">
        <f>T("   650610")</f>
        <v xml:space="preserve">   650610</v>
      </c>
      <c r="B325" t="str">
        <f>T("   Coiffures de sécurité, même garnies")</f>
        <v xml:space="preserve">   Coiffures de sécurité, même garnies</v>
      </c>
      <c r="C325">
        <v>85019</v>
      </c>
      <c r="D325">
        <v>20</v>
      </c>
    </row>
    <row r="326" spans="1:4" x14ac:dyDescent="0.25">
      <c r="A326" t="str">
        <f>T("   730799")</f>
        <v xml:space="preserve">   730799</v>
      </c>
      <c r="B326"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326">
        <v>18885849</v>
      </c>
      <c r="D326">
        <v>133</v>
      </c>
    </row>
    <row r="327" spans="1:4" x14ac:dyDescent="0.25">
      <c r="A327" t="str">
        <f>T("   731290")</f>
        <v xml:space="preserve">   731290</v>
      </c>
      <c r="B327" t="str">
        <f>T("   Tresses, élingues et simil., en fer ou en acier (sauf produits isolés pour l'électricité)")</f>
        <v xml:space="preserve">   Tresses, élingues et simil., en fer ou en acier (sauf produits isolés pour l'électricité)</v>
      </c>
      <c r="C327">
        <v>3393937</v>
      </c>
      <c r="D327">
        <v>39</v>
      </c>
    </row>
    <row r="328" spans="1:4" x14ac:dyDescent="0.25">
      <c r="A328" t="str">
        <f>T("   731815")</f>
        <v xml:space="preserve">   731815</v>
      </c>
      <c r="B328" t="s">
        <v>354</v>
      </c>
      <c r="C328">
        <v>647013</v>
      </c>
      <c r="D328">
        <v>6.65</v>
      </c>
    </row>
    <row r="329" spans="1:4" x14ac:dyDescent="0.25">
      <c r="A329" t="str">
        <f>T("   731816")</f>
        <v xml:space="preserve">   731816</v>
      </c>
      <c r="B329" t="str">
        <f>T("   ÉCROUS EN FONTE, FER OU ACIER")</f>
        <v xml:space="preserve">   ÉCROUS EN FONTE, FER OU ACIER</v>
      </c>
      <c r="C329">
        <v>8225469</v>
      </c>
      <c r="D329">
        <v>45</v>
      </c>
    </row>
    <row r="330" spans="1:4" x14ac:dyDescent="0.25">
      <c r="A330" t="str">
        <f>T("   731822")</f>
        <v xml:space="preserve">   731822</v>
      </c>
      <c r="B330" t="str">
        <f>T("   Rondelles en fonte, fer ou acier (sauf rondelles destinées à faire ressort et autres rondelles de blocage)")</f>
        <v xml:space="preserve">   Rondelles en fonte, fer ou acier (sauf rondelles destinées à faire ressort et autres rondelles de blocage)</v>
      </c>
      <c r="C330">
        <v>60558</v>
      </c>
      <c r="D330">
        <v>30</v>
      </c>
    </row>
    <row r="331" spans="1:4" x14ac:dyDescent="0.25">
      <c r="A331" t="str">
        <f>T("   732090")</f>
        <v xml:space="preserve">   732090</v>
      </c>
      <c r="B331" t="s">
        <v>355</v>
      </c>
      <c r="C331">
        <v>289718</v>
      </c>
      <c r="D331">
        <v>8</v>
      </c>
    </row>
    <row r="332" spans="1:4" x14ac:dyDescent="0.25">
      <c r="A332" t="str">
        <f>T("   732690")</f>
        <v xml:space="preserve">   732690</v>
      </c>
      <c r="B332"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332">
        <v>6653540</v>
      </c>
      <c r="D332">
        <v>132</v>
      </c>
    </row>
    <row r="333" spans="1:4" x14ac:dyDescent="0.25">
      <c r="A333" t="str">
        <f>T("   790400")</f>
        <v xml:space="preserve">   790400</v>
      </c>
      <c r="B333" t="str">
        <f>T("   Barres, profilés et fils en zinc, n.d.a.")</f>
        <v xml:space="preserve">   Barres, profilés et fils en zinc, n.d.a.</v>
      </c>
      <c r="C333">
        <v>18592917</v>
      </c>
      <c r="D333">
        <v>6200</v>
      </c>
    </row>
    <row r="334" spans="1:4" x14ac:dyDescent="0.25">
      <c r="A334" t="str">
        <f>T("   820570")</f>
        <v xml:space="preserve">   820570</v>
      </c>
      <c r="B334" t="str">
        <f>T("   Etaux, serre-joints et simil. (autres que ceux constituant des accessoires ou des parties de machines-outils)")</f>
        <v xml:space="preserve">   Etaux, serre-joints et simil. (autres que ceux constituant des accessoires ou des parties de machines-outils)</v>
      </c>
      <c r="C334">
        <v>7786</v>
      </c>
      <c r="D334">
        <v>23</v>
      </c>
    </row>
    <row r="335" spans="1:4" x14ac:dyDescent="0.25">
      <c r="A335" t="str">
        <f>T("   820600")</f>
        <v xml:space="preserve">   820600</v>
      </c>
      <c r="B335" t="str">
        <f>T("   Outils d'au moins deux du n° 8202 à 8205, conditionnés en assortiments pour la vente au détail")</f>
        <v xml:space="preserve">   Outils d'au moins deux du n° 8202 à 8205, conditionnés en assortiments pour la vente au détail</v>
      </c>
      <c r="C335">
        <v>6468395</v>
      </c>
      <c r="D335">
        <v>1203</v>
      </c>
    </row>
    <row r="336" spans="1:4" x14ac:dyDescent="0.25">
      <c r="A336" t="str">
        <f>T("   830120")</f>
        <v xml:space="preserve">   830120</v>
      </c>
      <c r="B336" t="str">
        <f>T("   Serrures des types utilisés pour véhicules automobiles, en métaux communs")</f>
        <v xml:space="preserve">   Serrures des types utilisés pour véhicules automobiles, en métaux communs</v>
      </c>
      <c r="C336">
        <v>1400416</v>
      </c>
      <c r="D336">
        <v>14</v>
      </c>
    </row>
    <row r="337" spans="1:4" x14ac:dyDescent="0.25">
      <c r="A337" t="str">
        <f>T("   830140")</f>
        <v xml:space="preserve">   830140</v>
      </c>
      <c r="B337"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337">
        <v>835693</v>
      </c>
      <c r="D337">
        <v>10</v>
      </c>
    </row>
    <row r="338" spans="1:4" x14ac:dyDescent="0.25">
      <c r="A338" t="str">
        <f>T("   831120")</f>
        <v xml:space="preserve">   831120</v>
      </c>
      <c r="B338" t="str">
        <f>T("   Fils fourrés en métaux communs, pour le soudage à l'arc")</f>
        <v xml:space="preserve">   Fils fourrés en métaux communs, pour le soudage à l'arc</v>
      </c>
      <c r="C338">
        <v>2523531</v>
      </c>
      <c r="D338">
        <v>560</v>
      </c>
    </row>
    <row r="339" spans="1:4" x14ac:dyDescent="0.25">
      <c r="A339" t="str">
        <f>T("   840890")</f>
        <v xml:space="preserve">   840890</v>
      </c>
      <c r="B339" t="s">
        <v>394</v>
      </c>
      <c r="C339">
        <v>57726277</v>
      </c>
      <c r="D339">
        <v>1812</v>
      </c>
    </row>
    <row r="340" spans="1:4" x14ac:dyDescent="0.25">
      <c r="A340" t="str">
        <f>T("   841229")</f>
        <v xml:space="preserve">   841229</v>
      </c>
      <c r="B340" t="str">
        <f>T("   Moteurs hydrauliques (autres que turbines hydrauliques ou roues hydrauliques du n° 8410, turbines à vapeur et moteurs hydrauliques, à mouvement rectiligne -cylindres-)")</f>
        <v xml:space="preserve">   Moteurs hydrauliques (autres que turbines hydrauliques ou roues hydrauliques du n° 8410, turbines à vapeur et moteurs hydrauliques, à mouvement rectiligne -cylindres-)</v>
      </c>
      <c r="C340">
        <v>13651072</v>
      </c>
      <c r="D340">
        <v>201</v>
      </c>
    </row>
    <row r="341" spans="1:4" x14ac:dyDescent="0.25">
      <c r="A341" t="str">
        <f>T("   841231")</f>
        <v xml:space="preserve">   841231</v>
      </c>
      <c r="B341" t="str">
        <f>T("   Moteurs pneumatiques, à mouvement rectiligne -cylindres-")</f>
        <v xml:space="preserve">   Moteurs pneumatiques, à mouvement rectiligne -cylindres-</v>
      </c>
      <c r="C341">
        <v>15799570</v>
      </c>
      <c r="D341">
        <v>296</v>
      </c>
    </row>
    <row r="342" spans="1:4" x14ac:dyDescent="0.25">
      <c r="A342" t="str">
        <f>T("   841381")</f>
        <v xml:space="preserve">   841381</v>
      </c>
      <c r="B342" t="s">
        <v>398</v>
      </c>
      <c r="C342">
        <v>63310504</v>
      </c>
      <c r="D342">
        <v>1216</v>
      </c>
    </row>
    <row r="343" spans="1:4" x14ac:dyDescent="0.25">
      <c r="A343" t="str">
        <f>T("   841829")</f>
        <v xml:space="preserve">   841829</v>
      </c>
      <c r="B343" t="str">
        <f>T("   Réfrigérateurs ménagers à absorption, non-électriques")</f>
        <v xml:space="preserve">   Réfrigérateurs ménagers à absorption, non-électriques</v>
      </c>
      <c r="C343">
        <v>389641</v>
      </c>
      <c r="D343">
        <v>1089</v>
      </c>
    </row>
    <row r="344" spans="1:4" x14ac:dyDescent="0.25">
      <c r="A344" t="str">
        <f>T("   842129")</f>
        <v xml:space="preserve">   842129</v>
      </c>
      <c r="B344"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344">
        <v>40708077</v>
      </c>
      <c r="D344">
        <v>366.3</v>
      </c>
    </row>
    <row r="345" spans="1:4" x14ac:dyDescent="0.25">
      <c r="A345" t="str">
        <f>T("   842139")</f>
        <v xml:space="preserve">   842139</v>
      </c>
      <c r="B345"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345">
        <v>3191245</v>
      </c>
      <c r="D345">
        <v>16.5</v>
      </c>
    </row>
    <row r="346" spans="1:4" x14ac:dyDescent="0.25">
      <c r="A346" t="str">
        <f>T("   842199")</f>
        <v xml:space="preserve">   842199</v>
      </c>
      <c r="B346" t="str">
        <f>T("   Parties d'appareils pour la filtration ou l'épuration des liquides ou des gaz, n.d.a.")</f>
        <v xml:space="preserve">   Parties d'appareils pour la filtration ou l'épuration des liquides ou des gaz, n.d.a.</v>
      </c>
      <c r="C346">
        <v>11489244</v>
      </c>
      <c r="D346">
        <v>175</v>
      </c>
    </row>
    <row r="347" spans="1:4" x14ac:dyDescent="0.25">
      <c r="A347" t="str">
        <f>T("   843120")</f>
        <v xml:space="preserve">   843120</v>
      </c>
      <c r="B347" t="str">
        <f>T("   Parties de chariots-gerbeurs et autres chariots de manutention munis d'un dispositif de levage, n.d.a.")</f>
        <v xml:space="preserve">   Parties de chariots-gerbeurs et autres chariots de manutention munis d'un dispositif de levage, n.d.a.</v>
      </c>
      <c r="C347">
        <v>133756048</v>
      </c>
      <c r="D347">
        <v>9582.2999999999993</v>
      </c>
    </row>
    <row r="348" spans="1:4" x14ac:dyDescent="0.25">
      <c r="A348" t="str">
        <f>T("   843149")</f>
        <v xml:space="preserve">   843149</v>
      </c>
      <c r="B348" t="str">
        <f>T("   Parties de machines et appareils du n° 8426, 8429 ou 8430, n.d.a.")</f>
        <v xml:space="preserve">   Parties de machines et appareils du n° 8426, 8429 ou 8430, n.d.a.</v>
      </c>
      <c r="C348">
        <v>147016137</v>
      </c>
      <c r="D348">
        <v>18928.95</v>
      </c>
    </row>
    <row r="349" spans="1:4" x14ac:dyDescent="0.25">
      <c r="A349" t="str">
        <f>T("   848180")</f>
        <v xml:space="preserve">   848180</v>
      </c>
      <c r="B349"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49">
        <v>5123316</v>
      </c>
      <c r="D349">
        <v>120</v>
      </c>
    </row>
    <row r="350" spans="1:4" x14ac:dyDescent="0.25">
      <c r="A350" t="str">
        <f>T("   848250")</f>
        <v xml:space="preserve">   848250</v>
      </c>
      <c r="B350" t="str">
        <f>T("   Roulements à rouleaux cylindriques")</f>
        <v xml:space="preserve">   Roulements à rouleaux cylindriques</v>
      </c>
      <c r="C350">
        <v>1847315</v>
      </c>
      <c r="D350">
        <v>18.2</v>
      </c>
    </row>
    <row r="351" spans="1:4" x14ac:dyDescent="0.25">
      <c r="A351" t="str">
        <f>T("   848330")</f>
        <v xml:space="preserve">   848330</v>
      </c>
      <c r="B351" t="str">
        <f>T("   Paliers pour machines, sans roulements incorporés; coussinets et coquilles de coussinets pour machines")</f>
        <v xml:space="preserve">   Paliers pour machines, sans roulements incorporés; coussinets et coquilles de coussinets pour machines</v>
      </c>
      <c r="C351">
        <v>880816</v>
      </c>
      <c r="D351">
        <v>28</v>
      </c>
    </row>
    <row r="352" spans="1:4" x14ac:dyDescent="0.25">
      <c r="A352" t="str">
        <f>T("   848490")</f>
        <v xml:space="preserve">   848490</v>
      </c>
      <c r="B352" t="str">
        <f>T("   Jeux ou assortiments de joints de composition différente présentés en pochettes, enveloppes ou emballages analogues")</f>
        <v xml:space="preserve">   Jeux ou assortiments de joints de composition différente présentés en pochettes, enveloppes ou emballages analogues</v>
      </c>
      <c r="C352">
        <v>1991731</v>
      </c>
      <c r="D352">
        <v>121.5</v>
      </c>
    </row>
    <row r="353" spans="1:4" x14ac:dyDescent="0.25">
      <c r="A353" t="str">
        <f>T("   850300")</f>
        <v xml:space="preserve">   850300</v>
      </c>
      <c r="B353"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353">
        <v>6253542</v>
      </c>
      <c r="D353">
        <v>29</v>
      </c>
    </row>
    <row r="354" spans="1:4" x14ac:dyDescent="0.25">
      <c r="A354" t="str">
        <f>T("   850440")</f>
        <v xml:space="preserve">   850440</v>
      </c>
      <c r="B354" t="str">
        <f>T("   CONVERTISSEURS STATIQUES")</f>
        <v xml:space="preserve">   CONVERTISSEURS STATIQUES</v>
      </c>
      <c r="C354">
        <v>7627654</v>
      </c>
      <c r="D354">
        <v>125</v>
      </c>
    </row>
    <row r="355" spans="1:4" x14ac:dyDescent="0.25">
      <c r="A355" t="str">
        <f>T("   851140")</f>
        <v xml:space="preserve">   851140</v>
      </c>
      <c r="B355" t="str">
        <f>T("   Démarreurs, même fonctionnant comme génératrices, pour moteurs à allumage par étincelles ou par compression")</f>
        <v xml:space="preserve">   Démarreurs, même fonctionnant comme génératrices, pour moteurs à allumage par étincelles ou par compression</v>
      </c>
      <c r="C355">
        <v>9020991</v>
      </c>
      <c r="D355">
        <v>139</v>
      </c>
    </row>
    <row r="356" spans="1:4" x14ac:dyDescent="0.25">
      <c r="A356" t="str">
        <f>T("   851810")</f>
        <v xml:space="preserve">   851810</v>
      </c>
      <c r="B356" t="str">
        <f>T("   Microphones et leurs supports (autres que sans fil, avec émetteur incorporé)")</f>
        <v xml:space="preserve">   Microphones et leurs supports (autres que sans fil, avec émetteur incorporé)</v>
      </c>
      <c r="C356">
        <v>350985</v>
      </c>
      <c r="D356">
        <v>1</v>
      </c>
    </row>
    <row r="357" spans="1:4" x14ac:dyDescent="0.25">
      <c r="A357" t="str">
        <f>T("   852719")</f>
        <v xml:space="preserve">   852719</v>
      </c>
      <c r="B357"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357">
        <v>2465261</v>
      </c>
      <c r="D357">
        <v>16</v>
      </c>
    </row>
    <row r="358" spans="1:4" x14ac:dyDescent="0.25">
      <c r="A358" t="str">
        <f>T("   852721")</f>
        <v xml:space="preserve">   852721</v>
      </c>
      <c r="B358" t="str">
        <f>T("   RÉCEPTEURS DE RADIODIFFUSION NE POUVANT FONCTIONNER QU'AVEC UNE SOURCE D'ÉNERGIE EXTÉRIEURE, POUR VÉHICULES AUTOMOBILES, COMBINÉS À UN APPAREIL D'ENREGISTREMENT OU DE REPRODUCTION DU SON")</f>
        <v xml:space="preserve">   RÉCEPTEURS DE RADIODIFFUSION NE POUVANT FONCTIONNER QU'AVEC UNE SOURCE D'ÉNERGIE EXTÉRIEURE, POUR VÉHICULES AUTOMOBILES, COMBINÉS À UN APPAREIL D'ENREGISTREMENT OU DE REPRODUCTION DU SON</v>
      </c>
      <c r="C358">
        <v>912204</v>
      </c>
      <c r="D358">
        <v>10.5</v>
      </c>
    </row>
    <row r="359" spans="1:4" x14ac:dyDescent="0.25">
      <c r="A359" t="str">
        <f>T("   853650")</f>
        <v xml:space="preserve">   853650</v>
      </c>
      <c r="B359" t="str">
        <f>T("   Interrupteurs, sectionneurs et commutateurs, pour une tension &lt;= 1.000 V (autres que relais et disjoncteurs)")</f>
        <v xml:space="preserve">   Interrupteurs, sectionneurs et commutateurs, pour une tension &lt;= 1.000 V (autres que relais et disjoncteurs)</v>
      </c>
      <c r="C359">
        <v>120257</v>
      </c>
      <c r="D359">
        <v>3</v>
      </c>
    </row>
    <row r="360" spans="1:4" x14ac:dyDescent="0.25">
      <c r="A360" t="str">
        <f>T("   853669")</f>
        <v xml:space="preserve">   853669</v>
      </c>
      <c r="B360" t="str">
        <f>T("   Fiches et prises de courant, pour une tension &lt;= 1.000 V (sauf douilles pour lampes)")</f>
        <v xml:space="preserve">   Fiches et prises de courant, pour une tension &lt;= 1.000 V (sauf douilles pour lampes)</v>
      </c>
      <c r="C360">
        <v>6287049</v>
      </c>
      <c r="D360">
        <v>245</v>
      </c>
    </row>
    <row r="361" spans="1:4" x14ac:dyDescent="0.25">
      <c r="A361" t="str">
        <f>T("   853690")</f>
        <v xml:space="preserve">   853690</v>
      </c>
      <c r="B361" t="s">
        <v>467</v>
      </c>
      <c r="C361">
        <v>8566182</v>
      </c>
      <c r="D361">
        <v>25.2</v>
      </c>
    </row>
    <row r="362" spans="1:4" x14ac:dyDescent="0.25">
      <c r="A362" t="str">
        <f>T("   853929")</f>
        <v xml:space="preserve">   853929</v>
      </c>
      <c r="B362"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362">
        <v>402759</v>
      </c>
      <c r="D362">
        <v>3</v>
      </c>
    </row>
    <row r="363" spans="1:4" x14ac:dyDescent="0.25">
      <c r="A363" t="str">
        <f>T("   870421")</f>
        <v xml:space="preserve">   870421</v>
      </c>
      <c r="B363" t="s">
        <v>478</v>
      </c>
      <c r="C363">
        <v>1200000</v>
      </c>
      <c r="D363">
        <v>1840</v>
      </c>
    </row>
    <row r="364" spans="1:4" x14ac:dyDescent="0.25">
      <c r="A364" t="str">
        <f>T("   903289")</f>
        <v xml:space="preserve">   903289</v>
      </c>
      <c r="B364" t="s">
        <v>501</v>
      </c>
      <c r="C364">
        <v>2804885</v>
      </c>
      <c r="D364">
        <v>31</v>
      </c>
    </row>
    <row r="365" spans="1:4" x14ac:dyDescent="0.25">
      <c r="A365" t="str">
        <f>T("   950490")</f>
        <v xml:space="preserve">   950490</v>
      </c>
      <c r="B365" t="s">
        <v>507</v>
      </c>
      <c r="C365">
        <v>21647</v>
      </c>
      <c r="D365">
        <v>60</v>
      </c>
    </row>
    <row r="366" spans="1:4" x14ac:dyDescent="0.25">
      <c r="A366" t="str">
        <f>T("   960810")</f>
        <v xml:space="preserve">   960810</v>
      </c>
      <c r="B366" t="str">
        <f>T("   Stylos et crayons à bille")</f>
        <v xml:space="preserve">   Stylos et crayons à bille</v>
      </c>
      <c r="C366">
        <v>21647</v>
      </c>
      <c r="D366">
        <v>62</v>
      </c>
    </row>
    <row r="367" spans="1:4" x14ac:dyDescent="0.25">
      <c r="A367" t="str">
        <f>T("AU")</f>
        <v>AU</v>
      </c>
      <c r="B367" t="str">
        <f>T("Australie")</f>
        <v>Australie</v>
      </c>
    </row>
    <row r="368" spans="1:4" x14ac:dyDescent="0.25">
      <c r="A368" t="str">
        <f>T("   ZZ_Total_Produit_SH6")</f>
        <v xml:space="preserve">   ZZ_Total_Produit_SH6</v>
      </c>
      <c r="B368" t="str">
        <f>T("   ZZ_Total_Produit_SH6")</f>
        <v xml:space="preserve">   ZZ_Total_Produit_SH6</v>
      </c>
      <c r="C368">
        <v>160649043</v>
      </c>
      <c r="D368">
        <v>315425</v>
      </c>
    </row>
    <row r="369" spans="1:4" x14ac:dyDescent="0.25">
      <c r="A369" t="str">
        <f>T("   020714")</f>
        <v xml:space="preserve">   020714</v>
      </c>
      <c r="B369" t="str">
        <f>T("   Morceaux et abats comestibles de coqs et de poules [des espèces domestiques], congelés")</f>
        <v xml:space="preserve">   Morceaux et abats comestibles de coqs et de poules [des espèces domestiques], congelés</v>
      </c>
      <c r="C369">
        <v>31378977</v>
      </c>
      <c r="D369">
        <v>45696</v>
      </c>
    </row>
    <row r="370" spans="1:4" x14ac:dyDescent="0.25">
      <c r="A370" t="str">
        <f>T("   020727")</f>
        <v xml:space="preserve">   020727</v>
      </c>
      <c r="B370" t="str">
        <f>T("   Morceaux et abats comestibles de dindes et dindons [des espèces domestiques], congelés")</f>
        <v xml:space="preserve">   Morceaux et abats comestibles de dindes et dindons [des espèces domestiques], congelés</v>
      </c>
      <c r="C370">
        <v>15670884</v>
      </c>
      <c r="D370">
        <v>25200</v>
      </c>
    </row>
    <row r="371" spans="1:4" x14ac:dyDescent="0.25">
      <c r="A371" t="str">
        <f>T("   030219")</f>
        <v xml:space="preserve">   030219</v>
      </c>
      <c r="B371" t="str">
        <f>T("   Salmonidés, frais ou réfrigérés (à l'excl. des truites et des saumons du Pacifique, de l'Atlantique et du Danube)")</f>
        <v xml:space="preserve">   Salmonidés, frais ou réfrigérés (à l'excl. des truites et des saumons du Pacifique, de l'Atlantique et du Danube)</v>
      </c>
      <c r="C371">
        <v>11250370</v>
      </c>
      <c r="D371">
        <v>50000</v>
      </c>
    </row>
    <row r="372" spans="1:4" x14ac:dyDescent="0.25">
      <c r="A372" t="str">
        <f>T("   030379")</f>
        <v xml:space="preserve">   030379</v>
      </c>
      <c r="B372" t="s">
        <v>17</v>
      </c>
      <c r="C372">
        <v>11264725</v>
      </c>
      <c r="D372">
        <v>50000</v>
      </c>
    </row>
    <row r="373" spans="1:4" x14ac:dyDescent="0.25">
      <c r="A373" t="str">
        <f>T("   100630")</f>
        <v xml:space="preserve">   100630</v>
      </c>
      <c r="B373" t="str">
        <f>T("   Riz semi-blanchi ou blanchi, même poli ou glacé")</f>
        <v xml:space="preserve">   Riz semi-blanchi ou blanchi, même poli ou glacé</v>
      </c>
      <c r="C373">
        <v>12879655</v>
      </c>
      <c r="D373">
        <v>23000</v>
      </c>
    </row>
    <row r="374" spans="1:4" x14ac:dyDescent="0.25">
      <c r="A374" t="str">
        <f>T("   420229")</f>
        <v xml:space="preserve">   420229</v>
      </c>
      <c r="B374"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374">
        <v>2530693</v>
      </c>
      <c r="D374">
        <v>3615</v>
      </c>
    </row>
    <row r="375" spans="1:4" x14ac:dyDescent="0.25">
      <c r="A375" t="str">
        <f>T("   420299")</f>
        <v xml:space="preserve">   420299</v>
      </c>
      <c r="B375" t="s">
        <v>160</v>
      </c>
      <c r="C375">
        <v>1879532</v>
      </c>
      <c r="D375">
        <v>6285</v>
      </c>
    </row>
    <row r="376" spans="1:4" x14ac:dyDescent="0.25">
      <c r="A376" t="str">
        <f>T("   591132")</f>
        <v xml:space="preserve">   591132</v>
      </c>
      <c r="B376" t="str">
        <f>T("   TISSUS ET FEUTRES SANS FIN OU MUNIS DE MOYENS DE JONCTION, DES TYPES UTILISÉS SUR LES MACHINES À PAPIER OU SUR DES MACHINES SIMIL. [À PÂTE, À AMIANTE-CIMENT, P.EX.], D'UN POIDS &gt;= 650 G/M²")</f>
        <v xml:space="preserve">   TISSUS ET FEUTRES SANS FIN OU MUNIS DE MOYENS DE JONCTION, DES TYPES UTILISÉS SUR LES MACHINES À PAPIER OU SUR DES MACHINES SIMIL. [À PÂTE, À AMIANTE-CIMENT, P.EX.], D'UN POIDS &gt;= 650 G/M²</v>
      </c>
      <c r="C376">
        <v>1764532</v>
      </c>
      <c r="D376">
        <v>212</v>
      </c>
    </row>
    <row r="377" spans="1:4" x14ac:dyDescent="0.25">
      <c r="A377" t="str">
        <f>T("   630900")</f>
        <v xml:space="preserve">   630900</v>
      </c>
      <c r="B377" t="s">
        <v>273</v>
      </c>
      <c r="C377">
        <v>60975143</v>
      </c>
      <c r="D377">
        <v>102839</v>
      </c>
    </row>
    <row r="378" spans="1:4" x14ac:dyDescent="0.25">
      <c r="A378" t="str">
        <f>T("   640590")</f>
        <v xml:space="preserve">   640590</v>
      </c>
      <c r="B378" t="s">
        <v>283</v>
      </c>
      <c r="C378">
        <v>4784572</v>
      </c>
      <c r="D378">
        <v>5835</v>
      </c>
    </row>
    <row r="379" spans="1:4" x14ac:dyDescent="0.25">
      <c r="A379" t="str">
        <f>T("   701090")</f>
        <v xml:space="preserve">   701090</v>
      </c>
      <c r="B379" t="s">
        <v>320</v>
      </c>
      <c r="C379">
        <v>157430</v>
      </c>
      <c r="D379">
        <v>20</v>
      </c>
    </row>
    <row r="380" spans="1:4" x14ac:dyDescent="0.25">
      <c r="A380" t="str">
        <f>T("   842129")</f>
        <v xml:space="preserve">   842129</v>
      </c>
      <c r="B380"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380">
        <v>1322415</v>
      </c>
      <c r="D380">
        <v>19</v>
      </c>
    </row>
    <row r="381" spans="1:4" x14ac:dyDescent="0.25">
      <c r="A381" t="str">
        <f>T("   852812")</f>
        <v xml:space="preserve">   852812</v>
      </c>
      <c r="B381"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381">
        <v>98394</v>
      </c>
      <c r="D381">
        <v>10</v>
      </c>
    </row>
    <row r="382" spans="1:4" x14ac:dyDescent="0.25">
      <c r="A382" t="str">
        <f>T("   853690")</f>
        <v xml:space="preserve">   853690</v>
      </c>
      <c r="B382" t="s">
        <v>467</v>
      </c>
      <c r="C382">
        <v>360778</v>
      </c>
      <c r="D382">
        <v>1</v>
      </c>
    </row>
    <row r="383" spans="1:4" x14ac:dyDescent="0.25">
      <c r="A383" t="str">
        <f>T("   870322")</f>
        <v xml:space="preserve">   870322</v>
      </c>
      <c r="B383" t="s">
        <v>472</v>
      </c>
      <c r="C383">
        <v>2400000</v>
      </c>
      <c r="D383">
        <v>1850</v>
      </c>
    </row>
    <row r="384" spans="1:4" x14ac:dyDescent="0.25">
      <c r="A384" t="str">
        <f>T("   870421")</f>
        <v xml:space="preserve">   870421</v>
      </c>
      <c r="B384" t="s">
        <v>478</v>
      </c>
      <c r="C384">
        <v>1350622</v>
      </c>
      <c r="D384">
        <v>840</v>
      </c>
    </row>
    <row r="385" spans="1:4" x14ac:dyDescent="0.25">
      <c r="A385" t="str">
        <f>T("   950420")</f>
        <v xml:space="preserve">   950420</v>
      </c>
      <c r="B385" t="str">
        <f>T("   BILLARDS DE TOUT GENRE ET LEURS ACCESSOIRES")</f>
        <v xml:space="preserve">   BILLARDS DE TOUT GENRE ET LEURS ACCESSOIRES</v>
      </c>
      <c r="C385">
        <v>580321</v>
      </c>
      <c r="D385">
        <v>3</v>
      </c>
    </row>
    <row r="386" spans="1:4" x14ac:dyDescent="0.25">
      <c r="A386" t="str">
        <f>T("BA")</f>
        <v>BA</v>
      </c>
      <c r="B386" t="str">
        <f>T("Bosnie Herzégovine")</f>
        <v>Bosnie Herzégovine</v>
      </c>
    </row>
    <row r="387" spans="1:4" x14ac:dyDescent="0.25">
      <c r="A387" t="str">
        <f>T("   ZZ_Total_Produit_SH6")</f>
        <v xml:space="preserve">   ZZ_Total_Produit_SH6</v>
      </c>
      <c r="B387" t="str">
        <f>T("   ZZ_Total_Produit_SH6")</f>
        <v xml:space="preserve">   ZZ_Total_Produit_SH6</v>
      </c>
      <c r="C387">
        <v>16752520</v>
      </c>
      <c r="D387">
        <v>652.5</v>
      </c>
    </row>
    <row r="388" spans="1:4" x14ac:dyDescent="0.25">
      <c r="A388" t="str">
        <f>T("   300490")</f>
        <v xml:space="preserve">   300490</v>
      </c>
      <c r="B388" t="s">
        <v>79</v>
      </c>
      <c r="C388">
        <v>11393694</v>
      </c>
      <c r="D388">
        <v>430</v>
      </c>
    </row>
    <row r="389" spans="1:4" x14ac:dyDescent="0.25">
      <c r="A389" t="str">
        <f>T("   382200")</f>
        <v xml:space="preserve">   382200</v>
      </c>
      <c r="B389" t="s">
        <v>122</v>
      </c>
      <c r="C389">
        <v>5258464</v>
      </c>
      <c r="D389">
        <v>210</v>
      </c>
    </row>
    <row r="390" spans="1:4" x14ac:dyDescent="0.25">
      <c r="A390" t="str">
        <f>T("   902780")</f>
        <v xml:space="preserve">   902780</v>
      </c>
      <c r="B390"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390">
        <v>100362</v>
      </c>
      <c r="D390">
        <v>12.5</v>
      </c>
    </row>
    <row r="391" spans="1:4" x14ac:dyDescent="0.25">
      <c r="A391" t="str">
        <f>T("BD")</f>
        <v>BD</v>
      </c>
      <c r="B391" t="str">
        <f>T("Bangladesh")</f>
        <v>Bangladesh</v>
      </c>
    </row>
    <row r="392" spans="1:4" x14ac:dyDescent="0.25">
      <c r="A392" t="str">
        <f>T("   ZZ_Total_Produit_SH6")</f>
        <v xml:space="preserve">   ZZ_Total_Produit_SH6</v>
      </c>
      <c r="B392" t="str">
        <f>T("   ZZ_Total_Produit_SH6")</f>
        <v xml:space="preserve">   ZZ_Total_Produit_SH6</v>
      </c>
      <c r="C392">
        <v>68371973</v>
      </c>
      <c r="D392">
        <v>280409</v>
      </c>
    </row>
    <row r="393" spans="1:4" x14ac:dyDescent="0.25">
      <c r="A393" t="str">
        <f>T("   200919")</f>
        <v xml:space="preserve">   200919</v>
      </c>
      <c r="B393"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393">
        <v>6798636</v>
      </c>
      <c r="D393">
        <v>22952</v>
      </c>
    </row>
    <row r="394" spans="1:4" x14ac:dyDescent="0.25">
      <c r="A394" t="str">
        <f>T("   200949")</f>
        <v xml:space="preserve">   200949</v>
      </c>
      <c r="B394"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394">
        <v>1911116</v>
      </c>
      <c r="D394">
        <v>7388</v>
      </c>
    </row>
    <row r="395" spans="1:4" x14ac:dyDescent="0.25">
      <c r="A395" t="str">
        <f>T("   200979")</f>
        <v xml:space="preserve">   200979</v>
      </c>
      <c r="B395"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395">
        <v>103539</v>
      </c>
      <c r="D395">
        <v>393</v>
      </c>
    </row>
    <row r="396" spans="1:4" x14ac:dyDescent="0.25">
      <c r="A396" t="str">
        <f>T("   200980")</f>
        <v xml:space="preserve">   200980</v>
      </c>
      <c r="B396"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96">
        <v>11985348</v>
      </c>
      <c r="D396">
        <v>43724</v>
      </c>
    </row>
    <row r="397" spans="1:4" x14ac:dyDescent="0.25">
      <c r="A397" t="str">
        <f>T("   200990")</f>
        <v xml:space="preserve">   200990</v>
      </c>
      <c r="B397"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397">
        <v>20104811</v>
      </c>
      <c r="D397">
        <v>69081</v>
      </c>
    </row>
    <row r="398" spans="1:4" x14ac:dyDescent="0.25">
      <c r="A398" t="str">
        <f>T("   420299")</f>
        <v xml:space="preserve">   420299</v>
      </c>
      <c r="B398" t="s">
        <v>160</v>
      </c>
      <c r="C398">
        <v>5061936</v>
      </c>
      <c r="D398">
        <v>37268</v>
      </c>
    </row>
    <row r="399" spans="1:4" x14ac:dyDescent="0.25">
      <c r="A399" t="str">
        <f>T("   610990")</f>
        <v xml:space="preserve">   610990</v>
      </c>
      <c r="B399" t="str">
        <f>T("   T-shirts et maillots de corps, en bonneterie, de matières textiles (sauf de coton)")</f>
        <v xml:space="preserve">   T-shirts et maillots de corps, en bonneterie, de matières textiles (sauf de coton)</v>
      </c>
      <c r="C399">
        <v>107225</v>
      </c>
      <c r="D399">
        <v>2523</v>
      </c>
    </row>
    <row r="400" spans="1:4" x14ac:dyDescent="0.25">
      <c r="A400" t="str">
        <f>T("   630510")</f>
        <v xml:space="preserve">   630510</v>
      </c>
      <c r="B400" t="str">
        <f>T("   Sacs et sachets d'emballage de jute ou d'autres fibres textiles libériennes du n° 5303")</f>
        <v xml:space="preserve">   Sacs et sachets d'emballage de jute ou d'autres fibres textiles libériennes du n° 5303</v>
      </c>
      <c r="C400">
        <v>22299362</v>
      </c>
      <c r="D400">
        <v>97080</v>
      </c>
    </row>
    <row r="401" spans="1:4" x14ac:dyDescent="0.25">
      <c r="A401" t="str">
        <f>T("BE")</f>
        <v>BE</v>
      </c>
      <c r="B401" t="str">
        <f>T("Belgique")</f>
        <v>Belgique</v>
      </c>
    </row>
    <row r="402" spans="1:4" x14ac:dyDescent="0.25">
      <c r="A402" t="str">
        <f>T("   ZZ_Total_Produit_SH6")</f>
        <v xml:space="preserve">   ZZ_Total_Produit_SH6</v>
      </c>
      <c r="B402" t="str">
        <f>T("   ZZ_Total_Produit_SH6")</f>
        <v xml:space="preserve">   ZZ_Total_Produit_SH6</v>
      </c>
      <c r="C402">
        <v>42679584198.185997</v>
      </c>
      <c r="D402">
        <v>87520828.969999999</v>
      </c>
    </row>
    <row r="403" spans="1:4" x14ac:dyDescent="0.25">
      <c r="A403" t="str">
        <f>T("   010511")</f>
        <v xml:space="preserve">   010511</v>
      </c>
      <c r="B403" t="str">
        <f>T("   Coqs et poules [des espèces domestiques], vivants, d'un poids &lt;= 185 g")</f>
        <v xml:space="preserve">   Coqs et poules [des espèces domestiques], vivants, d'un poids &lt;= 185 g</v>
      </c>
      <c r="C403">
        <v>4556954</v>
      </c>
      <c r="D403">
        <v>2654</v>
      </c>
    </row>
    <row r="404" spans="1:4" x14ac:dyDescent="0.25">
      <c r="A404" t="str">
        <f>T("   020712")</f>
        <v xml:space="preserve">   020712</v>
      </c>
      <c r="B404" t="str">
        <f>T("   COQS ET POULES [DES ESPÈCES DOMESTIQUES], NON-DÉCOUPÉS EN MORCEAUX, CONGELÉS")</f>
        <v xml:space="preserve">   COQS ET POULES [DES ESPÈCES DOMESTIQUES], NON-DÉCOUPÉS EN MORCEAUX, CONGELÉS</v>
      </c>
      <c r="C404">
        <v>384287971</v>
      </c>
      <c r="D404">
        <v>626455</v>
      </c>
    </row>
    <row r="405" spans="1:4" x14ac:dyDescent="0.25">
      <c r="A405" t="str">
        <f>T("   020714")</f>
        <v xml:space="preserve">   020714</v>
      </c>
      <c r="B405" t="str">
        <f>T("   Morceaux et abats comestibles de coqs et de poules [des espèces domestiques], congelés")</f>
        <v xml:space="preserve">   Morceaux et abats comestibles de coqs et de poules [des espèces domestiques], congelés</v>
      </c>
      <c r="C405">
        <v>1195804606</v>
      </c>
      <c r="D405">
        <v>2009294</v>
      </c>
    </row>
    <row r="406" spans="1:4" x14ac:dyDescent="0.25">
      <c r="A406" t="str">
        <f>T("   020726")</f>
        <v xml:space="preserve">   020726</v>
      </c>
      <c r="B406" t="str">
        <f>T("   Morceaux et abats comestibles de dindes et dindons [des espèces domestiques], frais ou réfrigérés")</f>
        <v xml:space="preserve">   Morceaux et abats comestibles de dindes et dindons [des espèces domestiques], frais ou réfrigérés</v>
      </c>
      <c r="C406">
        <v>15000000</v>
      </c>
      <c r="D406">
        <v>26075</v>
      </c>
    </row>
    <row r="407" spans="1:4" x14ac:dyDescent="0.25">
      <c r="A407" t="str">
        <f>T("   020727")</f>
        <v xml:space="preserve">   020727</v>
      </c>
      <c r="B407" t="str">
        <f>T("   Morceaux et abats comestibles de dindes et dindons [des espèces domestiques], congelés")</f>
        <v xml:space="preserve">   Morceaux et abats comestibles de dindes et dindons [des espèces domestiques], congelés</v>
      </c>
      <c r="C407">
        <v>853135727</v>
      </c>
      <c r="D407">
        <v>1399608</v>
      </c>
    </row>
    <row r="408" spans="1:4" x14ac:dyDescent="0.25">
      <c r="A408" t="str">
        <f>T("   021019")</f>
        <v xml:space="preserve">   021019</v>
      </c>
      <c r="B408" t="str">
        <f>T("   VIANDES DE PORCINS, SALÉES OU EN SAUMURE, SÉCHÉES OU FUMÉES (À L'EXCL. DES JAMBONS, ÉPAULES ET LEURS MORCEAUX, NON-DÉSOSSÉS, AINSI QUE DES POITRINES [ENTRELARDÉS] ET LEURS MORCEAUX)")</f>
        <v xml:space="preserve">   VIANDES DE PORCINS, SALÉES OU EN SAUMURE, SÉCHÉES OU FUMÉES (À L'EXCL. DES JAMBONS, ÉPAULES ET LEURS MORCEAUX, NON-DÉSOSSÉS, AINSI QUE DES POITRINES [ENTRELARDÉS] ET LEURS MORCEAUX)</v>
      </c>
      <c r="C408">
        <v>1781627</v>
      </c>
      <c r="D408">
        <v>4000</v>
      </c>
    </row>
    <row r="409" spans="1:4" x14ac:dyDescent="0.25">
      <c r="A409" t="str">
        <f>T("   030329")</f>
        <v xml:space="preserve">   030329</v>
      </c>
      <c r="B409" t="str">
        <f>T("   Salmonidés, congelés (à l'excl. des saumons du Pacifique, de l'Atlantique et du Danube ainsi que des truites)")</f>
        <v xml:space="preserve">   Salmonidés, congelés (à l'excl. des saumons du Pacifique, de l'Atlantique et du Danube ainsi que des truites)</v>
      </c>
      <c r="C409">
        <v>35000714</v>
      </c>
      <c r="D409">
        <v>200000</v>
      </c>
    </row>
    <row r="410" spans="1:4" x14ac:dyDescent="0.25">
      <c r="A410" t="str">
        <f>T("   030379")</f>
        <v xml:space="preserve">   030379</v>
      </c>
      <c r="B410" t="s">
        <v>17</v>
      </c>
      <c r="C410">
        <v>1080486162</v>
      </c>
      <c r="D410">
        <v>5602389</v>
      </c>
    </row>
    <row r="411" spans="1:4" x14ac:dyDescent="0.25">
      <c r="A411" t="str">
        <f>T("   040120")</f>
        <v xml:space="preserve">   040120</v>
      </c>
      <c r="B411"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411">
        <v>21281730</v>
      </c>
      <c r="D411">
        <v>62791</v>
      </c>
    </row>
    <row r="412" spans="1:4" x14ac:dyDescent="0.25">
      <c r="A412" t="str">
        <f>T("   040210")</f>
        <v xml:space="preserve">   040210</v>
      </c>
      <c r="B412"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412">
        <v>113043030</v>
      </c>
      <c r="D412">
        <v>59400</v>
      </c>
    </row>
    <row r="413" spans="1:4" x14ac:dyDescent="0.25">
      <c r="A413" t="str">
        <f>T("   040221")</f>
        <v xml:space="preserve">   040221</v>
      </c>
      <c r="B413"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413">
        <v>742248134</v>
      </c>
      <c r="D413">
        <v>389019</v>
      </c>
    </row>
    <row r="414" spans="1:4" x14ac:dyDescent="0.25">
      <c r="A414" t="str">
        <f>T("   040229")</f>
        <v xml:space="preserve">   040229</v>
      </c>
      <c r="B414"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414">
        <v>86795316</v>
      </c>
      <c r="D414">
        <v>48576</v>
      </c>
    </row>
    <row r="415" spans="1:4" x14ac:dyDescent="0.25">
      <c r="A415" t="str">
        <f>T("   070190")</f>
        <v xml:space="preserve">   070190</v>
      </c>
      <c r="B415" t="str">
        <f>T("   Pommes de terre, à l'état frais ou réfrigéré (à l'excl. des pommes de terre de semence)")</f>
        <v xml:space="preserve">   Pommes de terre, à l'état frais ou réfrigéré (à l'excl. des pommes de terre de semence)</v>
      </c>
      <c r="C415">
        <v>21838166</v>
      </c>
      <c r="D415">
        <v>130500</v>
      </c>
    </row>
    <row r="416" spans="1:4" x14ac:dyDescent="0.25">
      <c r="A416" t="str">
        <f>T("   071010")</f>
        <v xml:space="preserve">   071010</v>
      </c>
      <c r="B416" t="str">
        <f>T("   Pommes de terre, non cuites ou cuites à l'eau ou à la vapeur, congelées")</f>
        <v xml:space="preserve">   Pommes de terre, non cuites ou cuites à l'eau ou à la vapeur, congelées</v>
      </c>
      <c r="C416">
        <v>4000000</v>
      </c>
      <c r="D416">
        <v>29000</v>
      </c>
    </row>
    <row r="417" spans="1:4" x14ac:dyDescent="0.25">
      <c r="A417" t="str">
        <f>T("   100630")</f>
        <v xml:space="preserve">   100630</v>
      </c>
      <c r="B417" t="str">
        <f>T("   Riz semi-blanchi ou blanchi, même poli ou glacé")</f>
        <v xml:space="preserve">   Riz semi-blanchi ou blanchi, même poli ou glacé</v>
      </c>
      <c r="C417">
        <v>11590683</v>
      </c>
      <c r="D417">
        <v>20000</v>
      </c>
    </row>
    <row r="418" spans="1:4" x14ac:dyDescent="0.25">
      <c r="A418" t="str">
        <f>T("   110100")</f>
        <v xml:space="preserve">   110100</v>
      </c>
      <c r="B418" t="str">
        <f>T("   Farines de froment [blé] ou de méteil")</f>
        <v xml:space="preserve">   Farines de froment [blé] ou de méteil</v>
      </c>
      <c r="C418">
        <v>12910084.067</v>
      </c>
      <c r="D418">
        <v>48000</v>
      </c>
    </row>
    <row r="419" spans="1:4" x14ac:dyDescent="0.25">
      <c r="A419" t="str">
        <f>T("   110290")</f>
        <v xml:space="preserve">   110290</v>
      </c>
      <c r="B419" t="str">
        <f>T("   FARINES DE CÉRÉALES (À L'EXCL. DES FARINES DE FROMENT [BLÉ], DE MÉTEIL, DE SEIGLE ET DE MAÏS)")</f>
        <v xml:space="preserve">   FARINES DE CÉRÉALES (À L'EXCL. DES FARINES DE FROMENT [BLÉ], DE MÉTEIL, DE SEIGLE ET DE MAÏS)</v>
      </c>
      <c r="C419">
        <v>113557500</v>
      </c>
      <c r="D419">
        <v>90000</v>
      </c>
    </row>
    <row r="420" spans="1:4" x14ac:dyDescent="0.25">
      <c r="A420" t="str">
        <f>T("   110710")</f>
        <v xml:space="preserve">   110710</v>
      </c>
      <c r="B420" t="str">
        <f>T("   MALT, NON-TORRÉFIÉ")</f>
        <v xml:space="preserve">   MALT, NON-TORRÉFIÉ</v>
      </c>
      <c r="C420">
        <v>1075686112</v>
      </c>
      <c r="D420">
        <v>2491540</v>
      </c>
    </row>
    <row r="421" spans="1:4" x14ac:dyDescent="0.25">
      <c r="A421" t="str">
        <f>T("   110900")</f>
        <v xml:space="preserve">   110900</v>
      </c>
      <c r="B421" t="str">
        <f>T("   Gluten de froment [blé], même à l'état sec")</f>
        <v xml:space="preserve">   Gluten de froment [blé], même à l'état sec</v>
      </c>
      <c r="C421">
        <v>7695723</v>
      </c>
      <c r="D421">
        <v>9000</v>
      </c>
    </row>
    <row r="422" spans="1:4" x14ac:dyDescent="0.25">
      <c r="A422" t="str">
        <f>T("   140490")</f>
        <v xml:space="preserve">   140490</v>
      </c>
      <c r="B422" t="str">
        <f>T("   Produits végétaux, n.d.a.")</f>
        <v xml:space="preserve">   Produits végétaux, n.d.a.</v>
      </c>
      <c r="C422">
        <v>10253</v>
      </c>
      <c r="D422">
        <v>17</v>
      </c>
    </row>
    <row r="423" spans="1:4" x14ac:dyDescent="0.25">
      <c r="A423" t="str">
        <f>T("   151190")</f>
        <v xml:space="preserve">   151190</v>
      </c>
      <c r="B423" t="str">
        <f>T("   Huile de palme et ses fractions, même raffinées, mais non chimiquement modifiées (à l'excl. de l'huile de palme brute)")</f>
        <v xml:space="preserve">   Huile de palme et ses fractions, même raffinées, mais non chimiquement modifiées (à l'excl. de l'huile de palme brute)</v>
      </c>
      <c r="C423">
        <v>23009260.118000001</v>
      </c>
      <c r="D423">
        <v>62824</v>
      </c>
    </row>
    <row r="424" spans="1:4" x14ac:dyDescent="0.25">
      <c r="A424" t="str">
        <f>T("   160100")</f>
        <v xml:space="preserve">   160100</v>
      </c>
      <c r="B424" t="str">
        <f>T("   Saucisses, saucissons et produits simil., de viande, d'abats ou de sang; préparations alimentaires à base de ces produits")</f>
        <v xml:space="preserve">   Saucisses, saucissons et produits simil., de viande, d'abats ou de sang; préparations alimentaires à base de ces produits</v>
      </c>
      <c r="C424">
        <v>16993300</v>
      </c>
      <c r="D424">
        <v>25653</v>
      </c>
    </row>
    <row r="425" spans="1:4" x14ac:dyDescent="0.25">
      <c r="A425" t="str">
        <f>T("   160239")</f>
        <v xml:space="preserve">   160239</v>
      </c>
      <c r="B425" t="s">
        <v>41</v>
      </c>
      <c r="C425">
        <v>4105653</v>
      </c>
      <c r="D425">
        <v>6345</v>
      </c>
    </row>
    <row r="426" spans="1:4" x14ac:dyDescent="0.25">
      <c r="A426" t="str">
        <f>T("   170191")</f>
        <v xml:space="preserve">   170191</v>
      </c>
      <c r="B426" t="str">
        <f>T("   Sucres de canne ou de betterave, à l'état solide, additionnés d'aromatisants ou de colorants")</f>
        <v xml:space="preserve">   Sucres de canne ou de betterave, à l'état solide, additionnés d'aromatisants ou de colorants</v>
      </c>
      <c r="C426">
        <v>629065</v>
      </c>
      <c r="D426">
        <v>1058</v>
      </c>
    </row>
    <row r="427" spans="1:4" x14ac:dyDescent="0.25">
      <c r="A427" t="str">
        <f>T("   170490")</f>
        <v xml:space="preserve">   170490</v>
      </c>
      <c r="B427" t="str">
        <f>T("   Sucreries sans cacao, y.c. le chocolat blanc (à l'excl. des gommes à mâcher)")</f>
        <v xml:space="preserve">   Sucreries sans cacao, y.c. le chocolat blanc (à l'excl. des gommes à mâcher)</v>
      </c>
      <c r="C427">
        <v>3412959</v>
      </c>
      <c r="D427">
        <v>5529</v>
      </c>
    </row>
    <row r="428" spans="1:4" x14ac:dyDescent="0.25">
      <c r="A428" t="str">
        <f>T("   180631")</f>
        <v xml:space="preserve">   180631</v>
      </c>
      <c r="B428"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428">
        <v>5954149</v>
      </c>
      <c r="D428">
        <v>7992</v>
      </c>
    </row>
    <row r="429" spans="1:4" x14ac:dyDescent="0.25">
      <c r="A429" t="str">
        <f>T("   180690")</f>
        <v xml:space="preserve">   180690</v>
      </c>
      <c r="B429"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429">
        <v>7195880</v>
      </c>
      <c r="D429">
        <v>11276</v>
      </c>
    </row>
    <row r="430" spans="1:4" x14ac:dyDescent="0.25">
      <c r="A430" t="str">
        <f>T("   190110")</f>
        <v xml:space="preserve">   190110</v>
      </c>
      <c r="B430" t="s">
        <v>48</v>
      </c>
      <c r="C430">
        <v>1036417</v>
      </c>
      <c r="D430">
        <v>1664</v>
      </c>
    </row>
    <row r="431" spans="1:4" x14ac:dyDescent="0.25">
      <c r="A431" t="str">
        <f>T("   190219")</f>
        <v xml:space="preserve">   190219</v>
      </c>
      <c r="B431" t="str">
        <f>T("   PÂTES ALIMENTAIRES NON-CUITES NI FARCIES NI AUTREMENT PRÉPARÉES, NE CONTENANT PAS D'OEUFS")</f>
        <v xml:space="preserve">   PÂTES ALIMENTAIRES NON-CUITES NI FARCIES NI AUTREMENT PRÉPARÉES, NE CONTENANT PAS D'OEUFS</v>
      </c>
      <c r="C431">
        <v>30411129</v>
      </c>
      <c r="D431">
        <v>112631</v>
      </c>
    </row>
    <row r="432" spans="1:4" x14ac:dyDescent="0.25">
      <c r="A432" t="str">
        <f>T("   190230")</f>
        <v xml:space="preserve">   190230</v>
      </c>
      <c r="B432" t="str">
        <f>T("   Pâtes alimentaires, cuites ou autrement préparées (à l'excl. des pâtes alimentaires farcies)")</f>
        <v xml:space="preserve">   Pâtes alimentaires, cuites ou autrement préparées (à l'excl. des pâtes alimentaires farcies)</v>
      </c>
      <c r="C432">
        <v>3778985</v>
      </c>
      <c r="D432">
        <v>6123</v>
      </c>
    </row>
    <row r="433" spans="1:4" x14ac:dyDescent="0.25">
      <c r="A433" t="str">
        <f>T("   190531")</f>
        <v xml:space="preserve">   190531</v>
      </c>
      <c r="B433" t="str">
        <f>T("   Biscuits additionnés d'édulcorants")</f>
        <v xml:space="preserve">   Biscuits additionnés d'édulcorants</v>
      </c>
      <c r="C433">
        <v>982188</v>
      </c>
      <c r="D433">
        <v>2412</v>
      </c>
    </row>
    <row r="434" spans="1:4" x14ac:dyDescent="0.25">
      <c r="A434" t="str">
        <f>T("   190532")</f>
        <v xml:space="preserve">   190532</v>
      </c>
      <c r="B434" t="str">
        <f>T("   GAUFRES ET GAUFRETTES")</f>
        <v xml:space="preserve">   GAUFRES ET GAUFRETTES</v>
      </c>
      <c r="C434">
        <v>5091656</v>
      </c>
      <c r="D434">
        <v>16839</v>
      </c>
    </row>
    <row r="435" spans="1:4" x14ac:dyDescent="0.25">
      <c r="A435" t="str">
        <f>T("   190590")</f>
        <v xml:space="preserve">   190590</v>
      </c>
      <c r="B435" t="s">
        <v>52</v>
      </c>
      <c r="C435">
        <v>18369503</v>
      </c>
      <c r="D435">
        <v>22595</v>
      </c>
    </row>
    <row r="436" spans="1:4" x14ac:dyDescent="0.25">
      <c r="A436" t="str">
        <f>T("   200310")</f>
        <v xml:space="preserve">   200310</v>
      </c>
      <c r="B436" t="str">
        <f>T("   Champignons du genre 'Agaricus', préparés ou conservés autrement qu'au vinaigre ou à l'acide acétique")</f>
        <v xml:space="preserve">   Champignons du genre 'Agaricus', préparés ou conservés autrement qu'au vinaigre ou à l'acide acétique</v>
      </c>
      <c r="C436">
        <v>3106626</v>
      </c>
      <c r="D436">
        <v>4142</v>
      </c>
    </row>
    <row r="437" spans="1:4" x14ac:dyDescent="0.25">
      <c r="A437" t="str">
        <f>T("   200410")</f>
        <v xml:space="preserve">   200410</v>
      </c>
      <c r="B437" t="str">
        <f>T("   Pommes de terre, préparées ou conservées autrement qu'au vinaigre ou à l'acide acétique, congelées")</f>
        <v xml:space="preserve">   Pommes de terre, préparées ou conservées autrement qu'au vinaigre ou à l'acide acétique, congelées</v>
      </c>
      <c r="C437">
        <v>78859514</v>
      </c>
      <c r="D437">
        <v>263590</v>
      </c>
    </row>
    <row r="438" spans="1:4" x14ac:dyDescent="0.25">
      <c r="A438" t="str">
        <f>T("   200559")</f>
        <v xml:space="preserve">   200559</v>
      </c>
      <c r="B438"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438">
        <v>1462135</v>
      </c>
      <c r="D438">
        <v>2064</v>
      </c>
    </row>
    <row r="439" spans="1:4" x14ac:dyDescent="0.25">
      <c r="A439" t="str">
        <f>T("   200919")</f>
        <v xml:space="preserve">   200919</v>
      </c>
      <c r="B439"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439">
        <v>629066</v>
      </c>
      <c r="D439">
        <v>840</v>
      </c>
    </row>
    <row r="440" spans="1:4" x14ac:dyDescent="0.25">
      <c r="A440" t="str">
        <f>T("   200969")</f>
        <v xml:space="preserve">   200969</v>
      </c>
      <c r="B440"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440">
        <v>19675520</v>
      </c>
      <c r="D440">
        <v>48365</v>
      </c>
    </row>
    <row r="441" spans="1:4" x14ac:dyDescent="0.25">
      <c r="A441" t="str">
        <f>T("   200980")</f>
        <v xml:space="preserve">   200980</v>
      </c>
      <c r="B441"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441">
        <v>6949897</v>
      </c>
      <c r="D441">
        <v>10243</v>
      </c>
    </row>
    <row r="442" spans="1:4" x14ac:dyDescent="0.25">
      <c r="A442" t="str">
        <f>T("   200990")</f>
        <v xml:space="preserve">   200990</v>
      </c>
      <c r="B442"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442">
        <v>63535629</v>
      </c>
      <c r="D442">
        <v>235973</v>
      </c>
    </row>
    <row r="443" spans="1:4" x14ac:dyDescent="0.25">
      <c r="A443" t="str">
        <f>T("   210390")</f>
        <v xml:space="preserve">   210390</v>
      </c>
      <c r="B443"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443">
        <v>5174868</v>
      </c>
      <c r="D443">
        <v>5125</v>
      </c>
    </row>
    <row r="444" spans="1:4" x14ac:dyDescent="0.25">
      <c r="A444" t="str">
        <f>T("   210690")</f>
        <v xml:space="preserve">   210690</v>
      </c>
      <c r="B444" t="str">
        <f>T("   Préparations alimentaires, n.d.a.")</f>
        <v xml:space="preserve">   Préparations alimentaires, n.d.a.</v>
      </c>
      <c r="C444">
        <v>366829888</v>
      </c>
      <c r="D444">
        <v>80395</v>
      </c>
    </row>
    <row r="445" spans="1:4" x14ac:dyDescent="0.25">
      <c r="A445" t="str">
        <f>T("   220110")</f>
        <v xml:space="preserve">   220110</v>
      </c>
      <c r="B445" t="str">
        <f>T("   Eaux minérales et eaux gazéifiées, non additionnées de sucre ou d'autres édulcorants ni aromatisées")</f>
        <v xml:space="preserve">   Eaux minérales et eaux gazéifiées, non additionnées de sucre ou d'autres édulcorants ni aromatisées</v>
      </c>
      <c r="C445">
        <v>5796720</v>
      </c>
      <c r="D445">
        <v>8856</v>
      </c>
    </row>
    <row r="446" spans="1:4" x14ac:dyDescent="0.25">
      <c r="A446" t="str">
        <f>T("   220210")</f>
        <v xml:space="preserve">   220210</v>
      </c>
      <c r="B446"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446">
        <v>11796129</v>
      </c>
      <c r="D446">
        <v>42774</v>
      </c>
    </row>
    <row r="447" spans="1:4" x14ac:dyDescent="0.25">
      <c r="A447" t="str">
        <f>T("   220290")</f>
        <v xml:space="preserve">   220290</v>
      </c>
      <c r="B447" t="str">
        <f>T("   BOISSONS NON-ALCOOLIQUES (À L'EXCL. DES EAUX, DES JUS DE FRUITS OU DE LÉGUMES AINSI QUE DU LAIT)")</f>
        <v xml:space="preserve">   BOISSONS NON-ALCOOLIQUES (À L'EXCL. DES EAUX, DES JUS DE FRUITS OU DE LÉGUMES AINSI QUE DU LAIT)</v>
      </c>
      <c r="C447">
        <v>475714876</v>
      </c>
      <c r="D447">
        <v>1560077</v>
      </c>
    </row>
    <row r="448" spans="1:4" x14ac:dyDescent="0.25">
      <c r="A448" t="str">
        <f>T("   220300")</f>
        <v xml:space="preserve">   220300</v>
      </c>
      <c r="B448" t="str">
        <f>T("   Bières de malt")</f>
        <v xml:space="preserve">   Bières de malt</v>
      </c>
      <c r="C448">
        <v>128569226</v>
      </c>
      <c r="D448">
        <v>438664</v>
      </c>
    </row>
    <row r="449" spans="1:4" x14ac:dyDescent="0.25">
      <c r="A449" t="str">
        <f>T("   220410")</f>
        <v xml:space="preserve">   220410</v>
      </c>
      <c r="B449" t="str">
        <f>T("   Vins mousseux produits à partir de raisins frais")</f>
        <v xml:space="preserve">   Vins mousseux produits à partir de raisins frais</v>
      </c>
      <c r="C449">
        <v>735332</v>
      </c>
      <c r="D449">
        <v>1193</v>
      </c>
    </row>
    <row r="450" spans="1:4" x14ac:dyDescent="0.25">
      <c r="A450" t="str">
        <f>T("   220421")</f>
        <v xml:space="preserve">   220421</v>
      </c>
      <c r="B450"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450">
        <v>810766</v>
      </c>
      <c r="D450">
        <v>1091</v>
      </c>
    </row>
    <row r="451" spans="1:4" x14ac:dyDescent="0.25">
      <c r="A451" t="str">
        <f>T("   220600")</f>
        <v xml:space="preserve">   220600</v>
      </c>
      <c r="B451" t="s">
        <v>61</v>
      </c>
      <c r="C451">
        <v>1041665</v>
      </c>
      <c r="D451">
        <v>2975</v>
      </c>
    </row>
    <row r="452" spans="1:4" x14ac:dyDescent="0.25">
      <c r="A452" t="str">
        <f>T("   220830")</f>
        <v xml:space="preserve">   220830</v>
      </c>
      <c r="B452" t="str">
        <f>T("   Whiskies")</f>
        <v xml:space="preserve">   Whiskies</v>
      </c>
      <c r="C452">
        <v>41666184</v>
      </c>
      <c r="D452">
        <v>99598</v>
      </c>
    </row>
    <row r="453" spans="1:4" x14ac:dyDescent="0.25">
      <c r="A453" t="str">
        <f>T("   220840")</f>
        <v xml:space="preserve">   220840</v>
      </c>
      <c r="B453" t="str">
        <f>T("   RHUM ET AUTRES EAUX-DE-VIE PROVENANT DE LA DISTILLATION, APRÈS FERMENTATION, DE PRODUITS DE CANNES À SUCRE")</f>
        <v xml:space="preserve">   RHUM ET AUTRES EAUX-DE-VIE PROVENANT DE LA DISTILLATION, APRÈS FERMENTATION, DE PRODUITS DE CANNES À SUCRE</v>
      </c>
      <c r="C453">
        <v>4043954</v>
      </c>
      <c r="D453">
        <v>8425</v>
      </c>
    </row>
    <row r="454" spans="1:4" x14ac:dyDescent="0.25">
      <c r="A454" t="str">
        <f>T("   220850")</f>
        <v xml:space="preserve">   220850</v>
      </c>
      <c r="B454" t="str">
        <f>T("   Gin et genièvre")</f>
        <v xml:space="preserve">   Gin et genièvre</v>
      </c>
      <c r="C454">
        <v>97182594</v>
      </c>
      <c r="D454">
        <v>360737</v>
      </c>
    </row>
    <row r="455" spans="1:4" x14ac:dyDescent="0.25">
      <c r="A455" t="str">
        <f>T("   220860")</f>
        <v xml:space="preserve">   220860</v>
      </c>
      <c r="B455" t="str">
        <f>T("   VODKA")</f>
        <v xml:space="preserve">   VODKA</v>
      </c>
      <c r="C455">
        <v>3278147</v>
      </c>
      <c r="D455">
        <v>7793</v>
      </c>
    </row>
    <row r="456" spans="1:4" x14ac:dyDescent="0.25">
      <c r="A456" t="str">
        <f>T("   220870")</f>
        <v xml:space="preserve">   220870</v>
      </c>
      <c r="B456" t="str">
        <f>T("   LIQUEURS")</f>
        <v xml:space="preserve">   LIQUEURS</v>
      </c>
      <c r="C456">
        <v>71784322</v>
      </c>
      <c r="D456">
        <v>172924</v>
      </c>
    </row>
    <row r="457" spans="1:4" x14ac:dyDescent="0.25">
      <c r="A457" t="str">
        <f>T("   220890")</f>
        <v xml:space="preserve">   220890</v>
      </c>
      <c r="B457" t="s">
        <v>62</v>
      </c>
      <c r="C457">
        <v>53105524</v>
      </c>
      <c r="D457">
        <v>190268</v>
      </c>
    </row>
    <row r="458" spans="1:4" x14ac:dyDescent="0.25">
      <c r="A458" t="str">
        <f>T("   230400")</f>
        <v xml:space="preserve">   230400</v>
      </c>
      <c r="B458"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458">
        <v>42226112</v>
      </c>
      <c r="D458">
        <v>206751</v>
      </c>
    </row>
    <row r="459" spans="1:4" x14ac:dyDescent="0.25">
      <c r="A459" t="str">
        <f>T("   230910")</f>
        <v xml:space="preserve">   230910</v>
      </c>
      <c r="B459" t="str">
        <f>T("   Aliments pour chiens ou chats, conditionnés pour la vente au détail")</f>
        <v xml:space="preserve">   Aliments pour chiens ou chats, conditionnés pour la vente au détail</v>
      </c>
      <c r="C459">
        <v>11202484</v>
      </c>
      <c r="D459">
        <v>15125</v>
      </c>
    </row>
    <row r="460" spans="1:4" x14ac:dyDescent="0.25">
      <c r="A460" t="str">
        <f>T("   230990")</f>
        <v xml:space="preserve">   230990</v>
      </c>
      <c r="B460"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460">
        <v>380075493</v>
      </c>
      <c r="D460">
        <v>1307335</v>
      </c>
    </row>
    <row r="461" spans="1:4" x14ac:dyDescent="0.25">
      <c r="A461" t="str">
        <f>T("   250100")</f>
        <v xml:space="preserve">   250100</v>
      </c>
      <c r="B461" t="s">
        <v>65</v>
      </c>
      <c r="C461">
        <v>3762586</v>
      </c>
      <c r="D461">
        <v>22638</v>
      </c>
    </row>
    <row r="462" spans="1:4" x14ac:dyDescent="0.25">
      <c r="A462" t="str">
        <f>T("   250510")</f>
        <v xml:space="preserve">   250510</v>
      </c>
      <c r="B462" t="str">
        <f>T("   Sables siliceux et sables quartzeux, même colorés")</f>
        <v xml:space="preserve">   Sables siliceux et sables quartzeux, même colorés</v>
      </c>
      <c r="C462">
        <v>7768228</v>
      </c>
      <c r="D462">
        <v>5640</v>
      </c>
    </row>
    <row r="463" spans="1:4" x14ac:dyDescent="0.25">
      <c r="A463" t="str">
        <f>T("   252321")</f>
        <v xml:space="preserve">   252321</v>
      </c>
      <c r="B463" t="str">
        <f>T("   Ciments Portland blancs, même colorés artificiellement")</f>
        <v xml:space="preserve">   Ciments Portland blancs, même colorés artificiellement</v>
      </c>
      <c r="C463">
        <v>8072348</v>
      </c>
      <c r="D463">
        <v>135000</v>
      </c>
    </row>
    <row r="464" spans="1:4" x14ac:dyDescent="0.25">
      <c r="A464" t="str">
        <f>T("   252390")</f>
        <v xml:space="preserve">   252390</v>
      </c>
      <c r="B464" t="str">
        <f>T("   Ciments, même colorés (à l'excl. des ciments Portland et des ciments alumineux)")</f>
        <v xml:space="preserve">   Ciments, même colorés (à l'excl. des ciments Portland et des ciments alumineux)</v>
      </c>
      <c r="C464">
        <v>415957245</v>
      </c>
      <c r="D464">
        <v>5547258</v>
      </c>
    </row>
    <row r="465" spans="1:4" x14ac:dyDescent="0.25">
      <c r="A465" t="str">
        <f>T("   253090")</f>
        <v xml:space="preserve">   253090</v>
      </c>
      <c r="B465" t="str">
        <f>T("   Sulfures d'arsenic, alunite, terre de pouzzolane, terres colorantes et autres matières minérales, n.d.a.")</f>
        <v xml:space="preserve">   Sulfures d'arsenic, alunite, terre de pouzzolane, terres colorantes et autres matières minérales, n.d.a.</v>
      </c>
      <c r="C465">
        <v>5665917</v>
      </c>
      <c r="D465">
        <v>54216</v>
      </c>
    </row>
    <row r="466" spans="1:4" x14ac:dyDescent="0.25">
      <c r="A466" t="str">
        <f>T("   270500")</f>
        <v xml:space="preserve">   270500</v>
      </c>
      <c r="B466" t="str">
        <f>T("   Gaz de houille, gaz à l'eau, gaz pauvre et gaz simil. (à l'excl. des gaz de pétrole et autres hydrocarbures gazeux)")</f>
        <v xml:space="preserve">   Gaz de houille, gaz à l'eau, gaz pauvre et gaz simil. (à l'excl. des gaz de pétrole et autres hydrocarbures gazeux)</v>
      </c>
      <c r="C466">
        <v>2587762</v>
      </c>
      <c r="D466">
        <v>3480</v>
      </c>
    </row>
    <row r="467" spans="1:4" x14ac:dyDescent="0.25">
      <c r="A467" t="str">
        <f>T("   270600")</f>
        <v xml:space="preserve">   270600</v>
      </c>
      <c r="B467" t="str">
        <f>T("   Goudrons de houille, de lignite ou de tourbe et autres goudrons minéraux, même déshydratés ou étêtés, y.c. les goudrons reconstitués")</f>
        <v xml:space="preserve">   Goudrons de houille, de lignite ou de tourbe et autres goudrons minéraux, même déshydratés ou étêtés, y.c. les goudrons reconstitués</v>
      </c>
      <c r="C467">
        <v>592332</v>
      </c>
      <c r="D467">
        <v>450</v>
      </c>
    </row>
    <row r="468" spans="1:4" x14ac:dyDescent="0.25">
      <c r="A468" t="str">
        <f>T("   270720")</f>
        <v xml:space="preserve">   270720</v>
      </c>
      <c r="B468" t="str">
        <f>T("   TOLUOL 'TOLUÈNE' CONTENANT &gt; 50% DE TOLUÈNE (À L'EXCL. DES PRODUITS DE CONSTITUTION CHIMIQUE DÉFINIE)")</f>
        <v xml:space="preserve">   TOLUOL 'TOLUÈNE' CONTENANT &gt; 50% DE TOLUÈNE (À L'EXCL. DES PRODUITS DE CONSTITUTION CHIMIQUE DÉFINIE)</v>
      </c>
      <c r="C468">
        <v>2342433</v>
      </c>
      <c r="D468">
        <v>360</v>
      </c>
    </row>
    <row r="469" spans="1:4" x14ac:dyDescent="0.25">
      <c r="A469" t="str">
        <f>T("   270730")</f>
        <v xml:space="preserve">   270730</v>
      </c>
      <c r="B469" t="str">
        <f>T("   XYLOL 'XYLÈNES' CONTENANT &gt; 50% DE XYLÈNES (À L'EXCL. DES PRODUITS DE CONSTITUTION CHIMIQUE DÉFINIE)")</f>
        <v xml:space="preserve">   XYLOL 'XYLÈNES' CONTENANT &gt; 50% DE XYLÈNES (À L'EXCL. DES PRODUITS DE CONSTITUTION CHIMIQUE DÉFINIE)</v>
      </c>
      <c r="C469">
        <v>11740313</v>
      </c>
      <c r="D469">
        <v>14574</v>
      </c>
    </row>
    <row r="470" spans="1:4" x14ac:dyDescent="0.25">
      <c r="A470" t="str">
        <f>T("   271011")</f>
        <v xml:space="preserve">   271011</v>
      </c>
      <c r="B470"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470">
        <v>25848074</v>
      </c>
      <c r="D470">
        <v>78411</v>
      </c>
    </row>
    <row r="471" spans="1:4" x14ac:dyDescent="0.25">
      <c r="A471" t="str">
        <f>T("   271019")</f>
        <v xml:space="preserve">   271019</v>
      </c>
      <c r="B471" t="str">
        <f>T("   Huiles moyennes et préparations, de pétrole ou de minéraux bitumineux, n.d.a.")</f>
        <v xml:space="preserve">   Huiles moyennes et préparations, de pétrole ou de minéraux bitumineux, n.d.a.</v>
      </c>
      <c r="C471">
        <v>619356249</v>
      </c>
      <c r="D471">
        <v>487506</v>
      </c>
    </row>
    <row r="472" spans="1:4" x14ac:dyDescent="0.25">
      <c r="A472" t="str">
        <f>T("   280110")</f>
        <v xml:space="preserve">   280110</v>
      </c>
      <c r="B472" t="str">
        <f>T("   Chlore")</f>
        <v xml:space="preserve">   Chlore</v>
      </c>
      <c r="C472">
        <v>9523626</v>
      </c>
      <c r="D472">
        <v>23444</v>
      </c>
    </row>
    <row r="473" spans="1:4" x14ac:dyDescent="0.25">
      <c r="A473" t="str">
        <f>T("   280300")</f>
        <v xml:space="preserve">   280300</v>
      </c>
      <c r="B473" t="str">
        <f>T("   Carbone [noirs de carbone et autres formes de carbone, n.d.a.]")</f>
        <v xml:space="preserve">   Carbone [noirs de carbone et autres formes de carbone, n.d.a.]</v>
      </c>
      <c r="C473">
        <v>1564707</v>
      </c>
      <c r="D473">
        <v>2100</v>
      </c>
    </row>
    <row r="474" spans="1:4" x14ac:dyDescent="0.25">
      <c r="A474" t="str">
        <f>T("   280410")</f>
        <v xml:space="preserve">   280410</v>
      </c>
      <c r="B474" t="str">
        <f>T("   Hydrogène")</f>
        <v xml:space="preserve">   Hydrogène</v>
      </c>
      <c r="C474">
        <v>1027928</v>
      </c>
      <c r="D474">
        <v>1226</v>
      </c>
    </row>
    <row r="475" spans="1:4" x14ac:dyDescent="0.25">
      <c r="A475" t="str">
        <f>T("   280421")</f>
        <v xml:space="preserve">   280421</v>
      </c>
      <c r="B475" t="str">
        <f>T("   Argon")</f>
        <v xml:space="preserve">   Argon</v>
      </c>
      <c r="C475">
        <v>769651</v>
      </c>
      <c r="D475">
        <v>2043</v>
      </c>
    </row>
    <row r="476" spans="1:4" x14ac:dyDescent="0.25">
      <c r="A476" t="str">
        <f>T("   280610")</f>
        <v xml:space="preserve">   280610</v>
      </c>
      <c r="B476" t="str">
        <f>T("   Chlorure d'hydrogène [acide chlorhydrique]")</f>
        <v xml:space="preserve">   Chlorure d'hydrogène [acide chlorhydrique]</v>
      </c>
      <c r="C476">
        <v>13097552</v>
      </c>
      <c r="D476">
        <v>65853</v>
      </c>
    </row>
    <row r="477" spans="1:4" x14ac:dyDescent="0.25">
      <c r="A477" t="str">
        <f>T("   280700")</f>
        <v xml:space="preserve">   280700</v>
      </c>
      <c r="B477" t="str">
        <f>T("   Acide sulfurique; oléum")</f>
        <v xml:space="preserve">   Acide sulfurique; oléum</v>
      </c>
      <c r="C477">
        <v>22254421</v>
      </c>
      <c r="D477">
        <v>126492</v>
      </c>
    </row>
    <row r="478" spans="1:4" x14ac:dyDescent="0.25">
      <c r="A478" t="str">
        <f>T("   280800")</f>
        <v xml:space="preserve">   280800</v>
      </c>
      <c r="B478" t="str">
        <f>T("   Acide nitrique; acides sulfonitriques")</f>
        <v xml:space="preserve">   Acide nitrique; acides sulfonitriques</v>
      </c>
      <c r="C478">
        <v>6045983</v>
      </c>
      <c r="D478">
        <v>20160</v>
      </c>
    </row>
    <row r="479" spans="1:4" x14ac:dyDescent="0.25">
      <c r="A479" t="str">
        <f>T("   281121")</f>
        <v xml:space="preserve">   281121</v>
      </c>
      <c r="B479" t="str">
        <f>T("   DIOXYDE DE CARBONE")</f>
        <v xml:space="preserve">   DIOXYDE DE CARBONE</v>
      </c>
      <c r="C479">
        <v>5283967</v>
      </c>
      <c r="D479">
        <v>17165</v>
      </c>
    </row>
    <row r="480" spans="1:4" x14ac:dyDescent="0.25">
      <c r="A480" t="str">
        <f>T("   281122")</f>
        <v xml:space="preserve">   281122</v>
      </c>
      <c r="B480" t="str">
        <f>T("   Dioxyde de silicium")</f>
        <v xml:space="preserve">   Dioxyde de silicium</v>
      </c>
      <c r="C480">
        <v>3963310</v>
      </c>
      <c r="D480">
        <v>360</v>
      </c>
    </row>
    <row r="481" spans="1:4" x14ac:dyDescent="0.25">
      <c r="A481" t="str">
        <f>T("   281700")</f>
        <v xml:space="preserve">   281700</v>
      </c>
      <c r="B481" t="str">
        <f>T("   Oxyde de zinc; peroxyde de zinc")</f>
        <v xml:space="preserve">   Oxyde de zinc; peroxyde de zinc</v>
      </c>
      <c r="C481">
        <v>505745</v>
      </c>
      <c r="D481">
        <v>303</v>
      </c>
    </row>
    <row r="482" spans="1:4" x14ac:dyDescent="0.25">
      <c r="A482" t="str">
        <f>T("   282300")</f>
        <v xml:space="preserve">   282300</v>
      </c>
      <c r="B482" t="str">
        <f>T("   Oxydes de titane")</f>
        <v xml:space="preserve">   Oxydes de titane</v>
      </c>
      <c r="C482">
        <v>6776178</v>
      </c>
      <c r="D482">
        <v>4000</v>
      </c>
    </row>
    <row r="483" spans="1:4" x14ac:dyDescent="0.25">
      <c r="A483" t="str">
        <f>T("   282810")</f>
        <v xml:space="preserve">   282810</v>
      </c>
      <c r="B483" t="str">
        <f>T("   Hypochlorites de calcium, y.c. l'hypochlorite de calcium du commerce")</f>
        <v xml:space="preserve">   Hypochlorites de calcium, y.c. l'hypochlorite de calcium du commerce</v>
      </c>
      <c r="C483">
        <v>96519268</v>
      </c>
      <c r="D483">
        <v>86136</v>
      </c>
    </row>
    <row r="484" spans="1:4" x14ac:dyDescent="0.25">
      <c r="A484" t="str">
        <f>T("   282890")</f>
        <v xml:space="preserve">   282890</v>
      </c>
      <c r="B484" t="str">
        <f>T("   Hypochlorites, chlorites et hypobromites (à l'excl. des hypochlorites de calcium)")</f>
        <v xml:space="preserve">   Hypochlorites, chlorites et hypobromites (à l'excl. des hypochlorites de calcium)</v>
      </c>
      <c r="C484">
        <v>2207307</v>
      </c>
      <c r="D484">
        <v>3071</v>
      </c>
    </row>
    <row r="485" spans="1:4" x14ac:dyDescent="0.25">
      <c r="A485" t="str">
        <f>T("   283326")</f>
        <v xml:space="preserve">   283326</v>
      </c>
      <c r="B485" t="str">
        <f>T("   SULFATE DE ZINC")</f>
        <v xml:space="preserve">   SULFATE DE ZINC</v>
      </c>
      <c r="C485">
        <v>411287</v>
      </c>
      <c r="D485">
        <v>24</v>
      </c>
    </row>
    <row r="486" spans="1:4" x14ac:dyDescent="0.25">
      <c r="A486" t="str">
        <f>T("   283329")</f>
        <v xml:space="preserve">   283329</v>
      </c>
      <c r="B486" t="str">
        <f>T("   SULFATES (AUTRES QUE DE SODIUM, DE MAGNÉSIUM, D'ALUMINIUM, DE NICKEL, DE CUIVRE, DE BARYUM OU DE MERCURE)")</f>
        <v xml:space="preserve">   SULFATES (AUTRES QUE DE SODIUM, DE MAGNÉSIUM, D'ALUMINIUM, DE NICKEL, DE CUIVRE, DE BARYUM OU DE MERCURE)</v>
      </c>
      <c r="C486">
        <v>1302737</v>
      </c>
      <c r="D486">
        <v>6082</v>
      </c>
    </row>
    <row r="487" spans="1:4" x14ac:dyDescent="0.25">
      <c r="A487" t="str">
        <f>T("   283410")</f>
        <v xml:space="preserve">   283410</v>
      </c>
      <c r="B487" t="str">
        <f>T("   Nitrites")</f>
        <v xml:space="preserve">   Nitrites</v>
      </c>
      <c r="C487">
        <v>13421</v>
      </c>
      <c r="D487">
        <v>400</v>
      </c>
    </row>
    <row r="488" spans="1:4" x14ac:dyDescent="0.25">
      <c r="A488" t="str">
        <f>T("   283525")</f>
        <v xml:space="preserve">   283525</v>
      </c>
      <c r="B488" t="str">
        <f>T("   Hydrogénoorthophosphate de calcium [phosphate dicalcique]")</f>
        <v xml:space="preserve">   Hydrogénoorthophosphate de calcium [phosphate dicalcique]</v>
      </c>
      <c r="C488">
        <v>4347047</v>
      </c>
      <c r="D488">
        <v>35742</v>
      </c>
    </row>
    <row r="489" spans="1:4" x14ac:dyDescent="0.25">
      <c r="A489" t="str">
        <f>T("   290110")</f>
        <v xml:space="preserve">   290110</v>
      </c>
      <c r="B489" t="str">
        <f>T("   Hydrocarbures acycliques, saturés")</f>
        <v xml:space="preserve">   Hydrocarbures acycliques, saturés</v>
      </c>
      <c r="C489">
        <v>28158932</v>
      </c>
      <c r="D489">
        <v>29020</v>
      </c>
    </row>
    <row r="490" spans="1:4" x14ac:dyDescent="0.25">
      <c r="A490" t="str">
        <f>T("   290230")</f>
        <v xml:space="preserve">   290230</v>
      </c>
      <c r="B490" t="str">
        <f>T("   Toluène")</f>
        <v xml:space="preserve">   Toluène</v>
      </c>
      <c r="C490">
        <v>21283934</v>
      </c>
      <c r="D490">
        <v>30300</v>
      </c>
    </row>
    <row r="491" spans="1:4" x14ac:dyDescent="0.25">
      <c r="A491" t="str">
        <f>T("   290241")</f>
        <v xml:space="preserve">   290241</v>
      </c>
      <c r="B491" t="str">
        <f>T("   o-Xylène")</f>
        <v xml:space="preserve">   o-Xylène</v>
      </c>
      <c r="C491">
        <v>23434172</v>
      </c>
      <c r="D491">
        <v>13015</v>
      </c>
    </row>
    <row r="492" spans="1:4" x14ac:dyDescent="0.25">
      <c r="A492" t="str">
        <f>T("   290290")</f>
        <v xml:space="preserve">   290290</v>
      </c>
      <c r="B492" t="str">
        <f>T("   Hydrocarbures cycliques (à l'excl. des hydrocarbures cyclaniques, cycléniques ou cycloterpéniques, du benzène, du toluène, des xylènes, du styrène, de l'éthylbenzène et du cumène)")</f>
        <v xml:space="preserve">   Hydrocarbures cycliques (à l'excl. des hydrocarbures cyclaniques, cycléniques ou cycloterpéniques, du benzène, du toluène, des xylènes, du styrène, de l'éthylbenzène et du cumène)</v>
      </c>
      <c r="C492">
        <v>4533995</v>
      </c>
      <c r="D492">
        <v>2061</v>
      </c>
    </row>
    <row r="493" spans="1:4" x14ac:dyDescent="0.25">
      <c r="A493" t="str">
        <f>T("   290512")</f>
        <v xml:space="preserve">   290512</v>
      </c>
      <c r="B493" t="str">
        <f>T("   Propane-1-ol [alcool propylique] et propane-2-ol [alcool isopropylique]")</f>
        <v xml:space="preserve">   Propane-1-ol [alcool propylique] et propane-2-ol [alcool isopropylique]</v>
      </c>
      <c r="C493">
        <v>17844375</v>
      </c>
      <c r="D493">
        <v>16460</v>
      </c>
    </row>
    <row r="494" spans="1:4" x14ac:dyDescent="0.25">
      <c r="A494" t="str">
        <f>T("   290514")</f>
        <v xml:space="preserve">   290514</v>
      </c>
      <c r="B494" t="str">
        <f>T("   Butanols (à l'excl. du butane-1-ol [alcool n-butylique])")</f>
        <v xml:space="preserve">   Butanols (à l'excl. du butane-1-ol [alcool n-butylique])</v>
      </c>
      <c r="C494">
        <v>6197511</v>
      </c>
      <c r="D494">
        <v>5906</v>
      </c>
    </row>
    <row r="495" spans="1:4" x14ac:dyDescent="0.25">
      <c r="A495" t="str">
        <f>T("   290531")</f>
        <v xml:space="preserve">   290531</v>
      </c>
      <c r="B495" t="str">
        <f>T("   ÉTHYLÈNE GLYCOL [ÉTHANEDIOL]")</f>
        <v xml:space="preserve">   ÉTHYLÈNE GLYCOL [ÉTHANEDIOL]</v>
      </c>
      <c r="C495">
        <v>3064822</v>
      </c>
      <c r="D495">
        <v>3600</v>
      </c>
    </row>
    <row r="496" spans="1:4" x14ac:dyDescent="0.25">
      <c r="A496" t="str">
        <f>T("   290944")</f>
        <v xml:space="preserve">   290944</v>
      </c>
      <c r="B496" t="str">
        <f>T("   Ethers monoalkyliques de l'éthylène-glycol ou du diéthylène-glycol (à l'excl. du 2,2'-oxydiéthanol [diéthylène-glycol] ainsi que des éthers monométhyliques ou monobutyliques)")</f>
        <v xml:space="preserve">   Ethers monoalkyliques de l'éthylène-glycol ou du diéthylène-glycol (à l'excl. du 2,2'-oxydiéthanol [diéthylène-glycol] ainsi que des éthers monométhyliques ou monobutyliques)</v>
      </c>
      <c r="C496">
        <v>14006057</v>
      </c>
      <c r="D496">
        <v>8430</v>
      </c>
    </row>
    <row r="497" spans="1:4" x14ac:dyDescent="0.25">
      <c r="A497" t="str">
        <f>T("   291411")</f>
        <v xml:space="preserve">   291411</v>
      </c>
      <c r="B497" t="str">
        <f>T("   Acétone")</f>
        <v xml:space="preserve">   Acétone</v>
      </c>
      <c r="C497">
        <v>1392603</v>
      </c>
      <c r="D497">
        <v>2160</v>
      </c>
    </row>
    <row r="498" spans="1:4" x14ac:dyDescent="0.25">
      <c r="A498" t="str">
        <f>T("   291412")</f>
        <v xml:space="preserve">   291412</v>
      </c>
      <c r="B498" t="str">
        <f>T("   Butanone [méthyléthylcétone]")</f>
        <v xml:space="preserve">   Butanone [méthyléthylcétone]</v>
      </c>
      <c r="C498">
        <v>2423773</v>
      </c>
      <c r="D498">
        <v>1900</v>
      </c>
    </row>
    <row r="499" spans="1:4" x14ac:dyDescent="0.25">
      <c r="A499" t="str">
        <f>T("   291413")</f>
        <v xml:space="preserve">   291413</v>
      </c>
      <c r="B499" t="str">
        <f>T("   4-Méthylpentane-2-one [méthylisobutylcétone]")</f>
        <v xml:space="preserve">   4-Méthylpentane-2-one [méthylisobutylcétone]</v>
      </c>
      <c r="C499">
        <v>5389366</v>
      </c>
      <c r="D499">
        <v>6300</v>
      </c>
    </row>
    <row r="500" spans="1:4" x14ac:dyDescent="0.25">
      <c r="A500" t="str">
        <f>T("   291440")</f>
        <v xml:space="preserve">   291440</v>
      </c>
      <c r="B500" t="str">
        <f>T("   Cétones-alcools et cétones-aldéhydes")</f>
        <v xml:space="preserve">   Cétones-alcools et cétones-aldéhydes</v>
      </c>
      <c r="C500">
        <v>7321827</v>
      </c>
      <c r="D500">
        <v>4025</v>
      </c>
    </row>
    <row r="501" spans="1:4" x14ac:dyDescent="0.25">
      <c r="A501" t="str">
        <f>T("   291531")</f>
        <v xml:space="preserve">   291531</v>
      </c>
      <c r="B501" t="str">
        <f>T("   Acétate d'éthyle")</f>
        <v xml:space="preserve">   Acétate d'éthyle</v>
      </c>
      <c r="C501">
        <v>2482152</v>
      </c>
      <c r="D501">
        <v>2840</v>
      </c>
    </row>
    <row r="502" spans="1:4" x14ac:dyDescent="0.25">
      <c r="A502" t="str">
        <f>T("   291533")</f>
        <v xml:space="preserve">   291533</v>
      </c>
      <c r="B502" t="str">
        <f>T("   Acétate de n-butyle")</f>
        <v xml:space="preserve">   Acétate de n-butyle</v>
      </c>
      <c r="C502">
        <v>20976287</v>
      </c>
      <c r="D502">
        <v>18951</v>
      </c>
    </row>
    <row r="503" spans="1:4" x14ac:dyDescent="0.25">
      <c r="A503" t="str">
        <f>T("   291539")</f>
        <v xml:space="preserve">   291539</v>
      </c>
      <c r="B503" t="str">
        <f>T("   Esters de l'acide acétique (à l'excl. des acétates d'éthyle, de vinyle, de n-butyle, d'isobutyle et de 2-éthoxyéthyle)")</f>
        <v xml:space="preserve">   Esters de l'acide acétique (à l'excl. des acétates d'éthyle, de vinyle, de n-butyle, d'isobutyle et de 2-éthoxyéthyle)</v>
      </c>
      <c r="C503">
        <v>2250599</v>
      </c>
      <c r="D503">
        <v>1520</v>
      </c>
    </row>
    <row r="504" spans="1:4" x14ac:dyDescent="0.25">
      <c r="A504" t="str">
        <f>T("   291560")</f>
        <v xml:space="preserve">   291560</v>
      </c>
      <c r="B504" t="str">
        <f>T("   Acides butanoïques, acides pentanoïques, leurs sels et leurs esters")</f>
        <v xml:space="preserve">   Acides butanoïques, acides pentanoïques, leurs sels et leurs esters</v>
      </c>
      <c r="C504">
        <v>6965737</v>
      </c>
      <c r="D504">
        <v>5097</v>
      </c>
    </row>
    <row r="505" spans="1:4" x14ac:dyDescent="0.25">
      <c r="A505" t="str">
        <f>T("   291713")</f>
        <v xml:space="preserve">   291713</v>
      </c>
      <c r="B505" t="str">
        <f>T("   Acide azélaïque, acide sébacique, leurs sels et leurs esters")</f>
        <v xml:space="preserve">   Acide azélaïque, acide sébacique, leurs sels et leurs esters</v>
      </c>
      <c r="C505">
        <v>3580230</v>
      </c>
      <c r="D505">
        <v>2190</v>
      </c>
    </row>
    <row r="506" spans="1:4" x14ac:dyDescent="0.25">
      <c r="A506" t="str">
        <f>T("   291733")</f>
        <v xml:space="preserve">   291733</v>
      </c>
      <c r="B506" t="str">
        <f>T("   Orthophtalates de dinonyle ou de didécyle")</f>
        <v xml:space="preserve">   Orthophtalates de dinonyle ou de didécyle</v>
      </c>
      <c r="C506">
        <v>7269349</v>
      </c>
      <c r="D506">
        <v>6014</v>
      </c>
    </row>
    <row r="507" spans="1:4" x14ac:dyDescent="0.25">
      <c r="A507" t="str">
        <f>T("   291734")</f>
        <v xml:space="preserve">   291734</v>
      </c>
      <c r="B507" t="str">
        <f>T("   ESTERS DE L'ACIDE ORTHOPHTALIQUE (À L'EXCL. DES ORTHOPHTALATES DE DIOCTYLE, DE DINONYLE OU DE DIDÉCYLE)")</f>
        <v xml:space="preserve">   ESTERS DE L'ACIDE ORTHOPHTALIQUE (À L'EXCL. DES ORTHOPHTALATES DE DIOCTYLE, DE DINONYLE OU DE DIDÉCYLE)</v>
      </c>
      <c r="C507">
        <v>1273874</v>
      </c>
      <c r="D507">
        <v>800</v>
      </c>
    </row>
    <row r="508" spans="1:4" x14ac:dyDescent="0.25">
      <c r="A508" t="str">
        <f>T("   292241")</f>
        <v xml:space="preserve">   292241</v>
      </c>
      <c r="B508" t="str">
        <f>T("   Lysine et ses esters; sels de ces produits")</f>
        <v xml:space="preserve">   Lysine et ses esters; sels de ces produits</v>
      </c>
      <c r="C508">
        <v>8334629</v>
      </c>
      <c r="D508">
        <v>11619</v>
      </c>
    </row>
    <row r="509" spans="1:4" x14ac:dyDescent="0.25">
      <c r="A509" t="str">
        <f>T("   292310")</f>
        <v xml:space="preserve">   292310</v>
      </c>
      <c r="B509" t="str">
        <f>T("   Choline et ses sels")</f>
        <v xml:space="preserve">   Choline et ses sels</v>
      </c>
      <c r="C509">
        <v>1797330</v>
      </c>
      <c r="D509">
        <v>1304</v>
      </c>
    </row>
    <row r="510" spans="1:4" x14ac:dyDescent="0.25">
      <c r="A510" t="str">
        <f>T("   292800")</f>
        <v xml:space="preserve">   292800</v>
      </c>
      <c r="B510" t="str">
        <f>T("   Dérivés organiques de l'hydrazine ou de l'hydroxylamine")</f>
        <v xml:space="preserve">   Dérivés organiques de l'hydrazine ou de l'hydroxylamine</v>
      </c>
      <c r="C510">
        <v>1056522</v>
      </c>
      <c r="D510">
        <v>380</v>
      </c>
    </row>
    <row r="511" spans="1:4" x14ac:dyDescent="0.25">
      <c r="A511" t="str">
        <f>T("   293040")</f>
        <v xml:space="preserve">   293040</v>
      </c>
      <c r="B511" t="str">
        <f>T("   Méthionine")</f>
        <v xml:space="preserve">   Méthionine</v>
      </c>
      <c r="C511">
        <v>10569482</v>
      </c>
      <c r="D511">
        <v>8033</v>
      </c>
    </row>
    <row r="512" spans="1:4" x14ac:dyDescent="0.25">
      <c r="A512" t="str">
        <f>T("   293090")</f>
        <v xml:space="preserve">   293090</v>
      </c>
      <c r="B512" t="str">
        <f>T("   THIOCOMPOSÉS ORGANIQUES (À L'EXCL. DES THIOCARBAMATES, DES DITHIOCARBAMATES, DES MONO-, DI- OU TÉTRASULFURES DE THIOURAME, DE LA MÉTHIONINE, DU CAPTAFOL [ISO] AINSI QUE DU MÉTHAMIDOPHOS [ISO])")</f>
        <v xml:space="preserve">   THIOCOMPOSÉS ORGANIQUES (À L'EXCL. DES THIOCARBAMATES, DES DITHIOCARBAMATES, DES MONO-, DI- OU TÉTRASULFURES DE THIOURAME, DE LA MÉTHIONINE, DU CAPTAFOL [ISO] AINSI QUE DU MÉTHAMIDOPHOS [ISO])</v>
      </c>
      <c r="C512">
        <v>3235195</v>
      </c>
      <c r="D512">
        <v>2427</v>
      </c>
    </row>
    <row r="513" spans="1:4" x14ac:dyDescent="0.25">
      <c r="A513" t="str">
        <f>T("   294190")</f>
        <v xml:space="preserve">   294190</v>
      </c>
      <c r="B513" t="str">
        <f>T("   ANTIBIOTIQUES (À L'EXCL. DES PÉNICILLINES ET DE LEURS DÉRIVÉS À STRUCTURE D'ACIDE PÉNICILLANIQUE, DES STREPTOMYCINES, DES TÉTRACYCLINES, DU CHLORAMPHÉNICOL, DE L'ÉRYÈROMYCINE, DE LEURS DÉRIVÉS ET DES SELS DE TOUS CES PRODUITS)")</f>
        <v xml:space="preserve">   ANTIBIOTIQUES (À L'EXCL. DES PÉNICILLINES ET DE LEURS DÉRIVÉS À STRUCTURE D'ACIDE PÉNICILLANIQUE, DES STREPTOMYCINES, DES TÉTRACYCLINES, DU CHLORAMPHÉNICOL, DE L'ÉRYÈROMYCINE, DE LEURS DÉRIVÉS ET DES SELS DE TOUS CES PRODUITS)</v>
      </c>
      <c r="C513">
        <v>1534946</v>
      </c>
      <c r="D513">
        <v>2018</v>
      </c>
    </row>
    <row r="514" spans="1:4" x14ac:dyDescent="0.25">
      <c r="A514" t="str">
        <f>T("   300410")</f>
        <v xml:space="preserve">   300410</v>
      </c>
      <c r="B514" t="s">
        <v>75</v>
      </c>
      <c r="C514">
        <v>327980</v>
      </c>
      <c r="D514">
        <v>527</v>
      </c>
    </row>
    <row r="515" spans="1:4" x14ac:dyDescent="0.25">
      <c r="A515" t="str">
        <f>T("   300490")</f>
        <v xml:space="preserve">   300490</v>
      </c>
      <c r="B515" t="s">
        <v>79</v>
      </c>
      <c r="C515">
        <v>1749765556</v>
      </c>
      <c r="D515">
        <v>246702</v>
      </c>
    </row>
    <row r="516" spans="1:4" x14ac:dyDescent="0.25">
      <c r="A516" t="str">
        <f>T("   310210")</f>
        <v xml:space="preserve">   310210</v>
      </c>
      <c r="B516" t="str">
        <f>T("   Urée, même en solution aqueuse (à l'excl. des produits présentés soit en tablettes ou formes simil., soit en emballages d'un poids brut &lt;= 10 kg)")</f>
        <v xml:space="preserve">   Urée, même en solution aqueuse (à l'excl. des produits présentés soit en tablettes ou formes simil., soit en emballages d'un poids brut &lt;= 10 kg)</v>
      </c>
      <c r="C516">
        <v>203022767</v>
      </c>
      <c r="D516">
        <v>883168</v>
      </c>
    </row>
    <row r="517" spans="1:4" x14ac:dyDescent="0.25">
      <c r="A517" t="str">
        <f>T("   310229")</f>
        <v xml:space="preserve">   310229</v>
      </c>
      <c r="B517" t="str">
        <f>T("   Sels doubles et mélanges de sulfate d'ammonium et de nitrate d'ammonium (à l'excl. des produits présentés soit en tablettes ou formes simil., soit en emballages d'un poids brut &lt;= 10 kg)")</f>
        <v xml:space="preserve">   Sels doubles et mélanges de sulfate d'ammonium et de nitrate d'ammonium (à l'excl. des produits présentés soit en tablettes ou formes simil., soit en emballages d'un poids brut &lt;= 10 kg)</v>
      </c>
      <c r="C517">
        <v>612254602</v>
      </c>
      <c r="D517">
        <v>2412541</v>
      </c>
    </row>
    <row r="518" spans="1:4" x14ac:dyDescent="0.25">
      <c r="A518" t="str">
        <f>T("   310230")</f>
        <v xml:space="preserve">   310230</v>
      </c>
      <c r="B518" t="str">
        <f>T("   Nitrate d'ammonium, même en solution aqueuse (à l'excl. des produits présentés soit en tablettes ou formes simil., soit en emballages d'un poids brut &lt;= 10 kg)")</f>
        <v xml:space="preserve">   Nitrate d'ammonium, même en solution aqueuse (à l'excl. des produits présentés soit en tablettes ou formes simil., soit en emballages d'un poids brut &lt;= 10 kg)</v>
      </c>
      <c r="C518">
        <v>30746813</v>
      </c>
      <c r="D518">
        <v>75600</v>
      </c>
    </row>
    <row r="519" spans="1:4" x14ac:dyDescent="0.25">
      <c r="A519" t="str">
        <f>T("   310590")</f>
        <v xml:space="preserve">   310590</v>
      </c>
      <c r="B519" t="s">
        <v>83</v>
      </c>
      <c r="C519">
        <v>391245</v>
      </c>
      <c r="D519">
        <v>848</v>
      </c>
    </row>
    <row r="520" spans="1:4" x14ac:dyDescent="0.25">
      <c r="A520" t="str">
        <f>T("   320413")</f>
        <v xml:space="preserve">   320413</v>
      </c>
      <c r="B520" t="s">
        <v>86</v>
      </c>
      <c r="C520">
        <v>12275636</v>
      </c>
      <c r="D520">
        <v>3924</v>
      </c>
    </row>
    <row r="521" spans="1:4" x14ac:dyDescent="0.25">
      <c r="A521" t="str">
        <f>T("   320419")</f>
        <v xml:space="preserve">   320419</v>
      </c>
      <c r="B521" t="s">
        <v>88</v>
      </c>
      <c r="C521">
        <v>33446088</v>
      </c>
      <c r="D521">
        <v>5149</v>
      </c>
    </row>
    <row r="522" spans="1:4" x14ac:dyDescent="0.25">
      <c r="A522" t="str">
        <f>T("   320611")</f>
        <v xml:space="preserve">   320611</v>
      </c>
      <c r="B522" t="s">
        <v>90</v>
      </c>
      <c r="C522">
        <v>8954510</v>
      </c>
      <c r="D522">
        <v>5040</v>
      </c>
    </row>
    <row r="523" spans="1:4" x14ac:dyDescent="0.25">
      <c r="A523" t="str">
        <f>T("   320620")</f>
        <v xml:space="preserve">   320620</v>
      </c>
      <c r="B523" t="s">
        <v>91</v>
      </c>
      <c r="C523">
        <v>5358539</v>
      </c>
      <c r="D523">
        <v>625</v>
      </c>
    </row>
    <row r="524" spans="1:4" x14ac:dyDescent="0.25">
      <c r="A524" t="str">
        <f>T("   320810")</f>
        <v xml:space="preserve">   320810</v>
      </c>
      <c r="B524" t="str">
        <f>T("   PEINTURES ET VERNIS À BASE DE POLYESTERS, DISPERSÉS OU DISSOUS DANS UN MILIEU NON-AQUEUX, ET PRODUITS À BASE DE POLYESTERS EN SOLUTION DANS DES SOLVANTS ORGANIQUES VOLATILS, POUR AUTANT QUE LA PROPORTION DU SOLVANT &gt; 50% DU POIDS DE LA SOLUTION")</f>
        <v xml:space="preserve">   PEINTURES ET VERNIS À BASE DE POLYESTERS, DISPERSÉS OU DISSOUS DANS UN MILIEU NON-AQUEUX, ET PRODUITS À BASE DE POLYESTERS EN SOLUTION DANS DES SOLVANTS ORGANIQUES VOLATILS, POUR AUTANT QUE LA PROPORTION DU SOLVANT &gt; 50% DU POIDS DE LA SOLUTION</v>
      </c>
      <c r="C524">
        <v>1565746</v>
      </c>
      <c r="D524">
        <v>108</v>
      </c>
    </row>
    <row r="525" spans="1:4" x14ac:dyDescent="0.25">
      <c r="A525" t="str">
        <f>T("   321290")</f>
        <v xml:space="preserve">   321290</v>
      </c>
      <c r="B525" t="s">
        <v>94</v>
      </c>
      <c r="C525">
        <v>1224021</v>
      </c>
      <c r="D525">
        <v>632</v>
      </c>
    </row>
    <row r="526" spans="1:4" x14ac:dyDescent="0.25">
      <c r="A526" t="str">
        <f>T("   321410")</f>
        <v xml:space="preserve">   321410</v>
      </c>
      <c r="B526" t="str">
        <f>T("   Mastic de vitrier, ciments de résine et autres mastics; enduits utilisés en peinture")</f>
        <v xml:space="preserve">   Mastic de vitrier, ciments de résine et autres mastics; enduits utilisés en peinture</v>
      </c>
      <c r="C526">
        <v>236802</v>
      </c>
      <c r="D526">
        <v>350</v>
      </c>
    </row>
    <row r="527" spans="1:4" x14ac:dyDescent="0.25">
      <c r="A527" t="str">
        <f>T("   321490")</f>
        <v xml:space="preserve">   321490</v>
      </c>
      <c r="B527" t="str">
        <f>T("   Enduits non réfractaires des types utilisés en maçonnerie")</f>
        <v xml:space="preserve">   Enduits non réfractaires des types utilisés en maçonnerie</v>
      </c>
      <c r="C527">
        <v>490002</v>
      </c>
      <c r="D527">
        <v>64</v>
      </c>
    </row>
    <row r="528" spans="1:4" x14ac:dyDescent="0.25">
      <c r="A528" t="str">
        <f>T("   321590")</f>
        <v xml:space="preserve">   321590</v>
      </c>
      <c r="B528" t="str">
        <f>T("   Encres à écrire et à dessiner, même concentrées ou sous formes solides")</f>
        <v xml:space="preserve">   Encres à écrire et à dessiner, même concentrées ou sous formes solides</v>
      </c>
      <c r="C528">
        <v>284687</v>
      </c>
      <c r="D528">
        <v>61</v>
      </c>
    </row>
    <row r="529" spans="1:4" x14ac:dyDescent="0.25">
      <c r="A529" t="str">
        <f>T("   330210")</f>
        <v xml:space="preserve">   330210</v>
      </c>
      <c r="B529"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529">
        <v>4149766</v>
      </c>
      <c r="D529">
        <v>882</v>
      </c>
    </row>
    <row r="530" spans="1:4" x14ac:dyDescent="0.25">
      <c r="A530" t="str">
        <f>T("   330499")</f>
        <v xml:space="preserve">   330499</v>
      </c>
      <c r="B530" t="s">
        <v>97</v>
      </c>
      <c r="C530">
        <v>3451662</v>
      </c>
      <c r="D530">
        <v>5116</v>
      </c>
    </row>
    <row r="531" spans="1:4" x14ac:dyDescent="0.25">
      <c r="A531" t="str">
        <f>T("   330749")</f>
        <v xml:space="preserve">   330749</v>
      </c>
      <c r="B531"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531">
        <v>4140</v>
      </c>
      <c r="D531">
        <v>10</v>
      </c>
    </row>
    <row r="532" spans="1:4" x14ac:dyDescent="0.25">
      <c r="A532" t="str">
        <f>T("   340111")</f>
        <v xml:space="preserve">   340111</v>
      </c>
      <c r="B532" t="s">
        <v>98</v>
      </c>
      <c r="C532">
        <v>11285707</v>
      </c>
      <c r="D532">
        <v>43624</v>
      </c>
    </row>
    <row r="533" spans="1:4" x14ac:dyDescent="0.25">
      <c r="A533" t="str">
        <f>T("   340119")</f>
        <v xml:space="preserve">   340119</v>
      </c>
      <c r="B533" t="s">
        <v>99</v>
      </c>
      <c r="C533">
        <v>449780</v>
      </c>
      <c r="D533">
        <v>377</v>
      </c>
    </row>
    <row r="534" spans="1:4" x14ac:dyDescent="0.25">
      <c r="A534" t="str">
        <f>T("   340120")</f>
        <v xml:space="preserve">   340120</v>
      </c>
      <c r="B534" t="str">
        <f>T("   Savons en flocons, en paillettes, en granulés ou en poudres et savons liquides ou pâteux")</f>
        <v xml:space="preserve">   Savons en flocons, en paillettes, en granulés ou en poudres et savons liquides ou pâteux</v>
      </c>
      <c r="C534">
        <v>986564</v>
      </c>
      <c r="D534">
        <v>405</v>
      </c>
    </row>
    <row r="535" spans="1:4" x14ac:dyDescent="0.25">
      <c r="A535" t="str">
        <f>T("   340220")</f>
        <v xml:space="preserve">   340220</v>
      </c>
      <c r="B535" t="s">
        <v>100</v>
      </c>
      <c r="C535">
        <v>5542862</v>
      </c>
      <c r="D535">
        <v>6710</v>
      </c>
    </row>
    <row r="536" spans="1:4" x14ac:dyDescent="0.25">
      <c r="A536" t="str">
        <f>T("   340290")</f>
        <v xml:space="preserve">   340290</v>
      </c>
      <c r="B536" t="s">
        <v>101</v>
      </c>
      <c r="C536">
        <v>105348488</v>
      </c>
      <c r="D536">
        <v>65700</v>
      </c>
    </row>
    <row r="537" spans="1:4" x14ac:dyDescent="0.25">
      <c r="A537" t="str">
        <f>T("   340319")</f>
        <v xml:space="preserve">   340319</v>
      </c>
      <c r="B537" t="s">
        <v>102</v>
      </c>
      <c r="C537">
        <v>547884</v>
      </c>
      <c r="D537">
        <v>401</v>
      </c>
    </row>
    <row r="538" spans="1:4" x14ac:dyDescent="0.25">
      <c r="A538" t="str">
        <f>T("   340399")</f>
        <v xml:space="preserve">   340399</v>
      </c>
      <c r="B538" t="s">
        <v>103</v>
      </c>
      <c r="C538">
        <v>22979591</v>
      </c>
      <c r="D538">
        <v>18688</v>
      </c>
    </row>
    <row r="539" spans="1:4" x14ac:dyDescent="0.25">
      <c r="A539" t="str">
        <f>T("   350691")</f>
        <v xml:space="preserve">   350691</v>
      </c>
      <c r="B539"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539">
        <v>13532455</v>
      </c>
      <c r="D539">
        <v>5590</v>
      </c>
    </row>
    <row r="540" spans="1:4" x14ac:dyDescent="0.25">
      <c r="A540" t="str">
        <f>T("   350699")</f>
        <v xml:space="preserve">   350699</v>
      </c>
      <c r="B540" t="str">
        <f>T("   Colles et autres adhésifs préparés, n.d.a.")</f>
        <v xml:space="preserve">   Colles et autres adhésifs préparés, n.d.a.</v>
      </c>
      <c r="C540">
        <v>848812</v>
      </c>
      <c r="D540">
        <v>1300</v>
      </c>
    </row>
    <row r="541" spans="1:4" x14ac:dyDescent="0.25">
      <c r="A541" t="str">
        <f>T("   350790")</f>
        <v xml:space="preserve">   350790</v>
      </c>
      <c r="B541" t="str">
        <f>T("   Enzymes et enzymes préparées, n.d.a. (à l'excl. de la présure et de ses concentrats)")</f>
        <v xml:space="preserve">   Enzymes et enzymes préparées, n.d.a. (à l'excl. de la présure et de ses concentrats)</v>
      </c>
      <c r="C541">
        <v>1372269</v>
      </c>
      <c r="D541">
        <v>506</v>
      </c>
    </row>
    <row r="542" spans="1:4" x14ac:dyDescent="0.25">
      <c r="A542" t="str">
        <f>T("   370320")</f>
        <v xml:space="preserve">   370320</v>
      </c>
      <c r="B542"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542">
        <v>1130875</v>
      </c>
      <c r="D542">
        <v>1000</v>
      </c>
    </row>
    <row r="543" spans="1:4" x14ac:dyDescent="0.25">
      <c r="A543" t="str">
        <f>T("   370390")</f>
        <v xml:space="preserve">   370390</v>
      </c>
      <c r="B543"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543">
        <v>2490142</v>
      </c>
      <c r="D543">
        <v>8321</v>
      </c>
    </row>
    <row r="544" spans="1:4" x14ac:dyDescent="0.25">
      <c r="A544" t="str">
        <f>T("   370590")</f>
        <v xml:space="preserve">   370590</v>
      </c>
      <c r="B544" t="str">
        <f>T("   PLAQUES ET PELLICULES, PHOTOGRAPHIQUES, IMPRESSIONNÉES ET DÉVELOPPÉES (À L'EXCL. DES FILMS CINÉMATOGRAPHIQUES, DES PELLICULES POUR LA REPRODUCTION OFFSET AINSI QUE DES PRODUITS EN PAPIER, EN CARTON OU EN MATIÈRES TEXTILES)")</f>
        <v xml:space="preserve">   PLAQUES ET PELLICULES, PHOTOGRAPHIQUES, IMPRESSIONNÉES ET DÉVELOPPÉES (À L'EXCL. DES FILMS CINÉMATOGRAPHIQUES, DES PELLICULES POUR LA REPRODUCTION OFFSET AINSI QUE DES PRODUITS EN PAPIER, EN CARTON OU EN MATIÈRES TEXTILES)</v>
      </c>
      <c r="C544">
        <v>7459184</v>
      </c>
      <c r="D544">
        <v>11070</v>
      </c>
    </row>
    <row r="545" spans="1:4" x14ac:dyDescent="0.25">
      <c r="A545" t="str">
        <f>T("   370790")</f>
        <v xml:space="preserve">   370790</v>
      </c>
      <c r="B545" t="s">
        <v>115</v>
      </c>
      <c r="C545">
        <v>7594592</v>
      </c>
      <c r="D545">
        <v>27217</v>
      </c>
    </row>
    <row r="546" spans="1:4" x14ac:dyDescent="0.25">
      <c r="A546" t="str">
        <f>T("   380630")</f>
        <v xml:space="preserve">   380630</v>
      </c>
      <c r="B546" t="str">
        <f>T("   Gommes esters")</f>
        <v xml:space="preserve">   Gommes esters</v>
      </c>
      <c r="C546">
        <v>1185320</v>
      </c>
      <c r="D546">
        <v>251</v>
      </c>
    </row>
    <row r="547" spans="1:4" x14ac:dyDescent="0.25">
      <c r="A547" t="str">
        <f>T("   380820")</f>
        <v xml:space="preserve">   380820</v>
      </c>
      <c r="B547" t="str">
        <f>T("   Fongicides présentés dans des formes ou emballages de vente au détail ou à l'état de préparations ou sous forme d'articles")</f>
        <v xml:space="preserve">   Fongicides présentés dans des formes ou emballages de vente au détail ou à l'état de préparations ou sous forme d'articles</v>
      </c>
      <c r="C547">
        <v>713684</v>
      </c>
      <c r="D547">
        <v>369</v>
      </c>
    </row>
    <row r="548" spans="1:4" x14ac:dyDescent="0.25">
      <c r="A548" t="str">
        <f>T("   380840")</f>
        <v xml:space="preserve">   380840</v>
      </c>
      <c r="B548"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548">
        <v>4966929</v>
      </c>
      <c r="D548">
        <v>3641</v>
      </c>
    </row>
    <row r="549" spans="1:4" x14ac:dyDescent="0.25">
      <c r="A549" t="str">
        <f>T("   380890")</f>
        <v xml:space="preserve">   380890</v>
      </c>
      <c r="B549"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549">
        <v>7633446</v>
      </c>
      <c r="D549">
        <v>2882</v>
      </c>
    </row>
    <row r="550" spans="1:4" x14ac:dyDescent="0.25">
      <c r="A550" t="str">
        <f>T("   380991")</f>
        <v xml:space="preserve">   380991</v>
      </c>
      <c r="B550" t="s">
        <v>118</v>
      </c>
      <c r="C550">
        <v>1315199</v>
      </c>
      <c r="D550">
        <v>346</v>
      </c>
    </row>
    <row r="551" spans="1:4" x14ac:dyDescent="0.25">
      <c r="A551" t="str">
        <f>T("   381121")</f>
        <v xml:space="preserve">   381121</v>
      </c>
      <c r="B551" t="str">
        <f>T("   Additifs préparés pour huiles lubrifiantes, contenant des huiles de pétrole ou de minéraux bitumineux")</f>
        <v xml:space="preserve">   Additifs préparés pour huiles lubrifiantes, contenant des huiles de pétrole ou de minéraux bitumineux</v>
      </c>
      <c r="C551">
        <v>54585</v>
      </c>
      <c r="D551">
        <v>3</v>
      </c>
    </row>
    <row r="552" spans="1:4" x14ac:dyDescent="0.25">
      <c r="A552" t="str">
        <f>T("   381190")</f>
        <v xml:space="preserve">   381190</v>
      </c>
      <c r="B552" t="s">
        <v>120</v>
      </c>
      <c r="C552">
        <v>265008</v>
      </c>
      <c r="D552">
        <v>18</v>
      </c>
    </row>
    <row r="553" spans="1:4" x14ac:dyDescent="0.25">
      <c r="A553" t="str">
        <f>T("   381300")</f>
        <v xml:space="preserve">   381300</v>
      </c>
      <c r="B553" t="s">
        <v>121</v>
      </c>
      <c r="C553">
        <v>3310866</v>
      </c>
      <c r="D553">
        <v>155</v>
      </c>
    </row>
    <row r="554" spans="1:4" x14ac:dyDescent="0.25">
      <c r="A554" t="str">
        <f>T("   381400")</f>
        <v xml:space="preserve">   381400</v>
      </c>
      <c r="B554"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554">
        <v>38619645</v>
      </c>
      <c r="D554">
        <v>82125</v>
      </c>
    </row>
    <row r="555" spans="1:4" x14ac:dyDescent="0.25">
      <c r="A555" t="str">
        <f>T("   381519")</f>
        <v xml:space="preserve">   381519</v>
      </c>
      <c r="B555" t="str">
        <f>T("   Catalyseurs supportés, n.d.a. (sauf ayant comme substance active le nickel, un métal précieux ou un composé de ces métaux)")</f>
        <v xml:space="preserve">   Catalyseurs supportés, n.d.a. (sauf ayant comme substance active le nickel, un métal précieux ou un composé de ces métaux)</v>
      </c>
      <c r="C555">
        <v>723756</v>
      </c>
      <c r="D555">
        <v>40</v>
      </c>
    </row>
    <row r="556" spans="1:4" x14ac:dyDescent="0.25">
      <c r="A556" t="str">
        <f>T("   381600")</f>
        <v xml:space="preserve">   381600</v>
      </c>
      <c r="B556"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556">
        <v>18301942</v>
      </c>
      <c r="D556">
        <v>33771</v>
      </c>
    </row>
    <row r="557" spans="1:4" x14ac:dyDescent="0.25">
      <c r="A557" t="str">
        <f>T("   381900")</f>
        <v xml:space="preserve">   381900</v>
      </c>
      <c r="B557"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557">
        <v>464682</v>
      </c>
      <c r="D557">
        <v>8000</v>
      </c>
    </row>
    <row r="558" spans="1:4" x14ac:dyDescent="0.25">
      <c r="A558" t="str">
        <f>T("   382200")</f>
        <v xml:space="preserve">   382200</v>
      </c>
      <c r="B558" t="s">
        <v>122</v>
      </c>
      <c r="C558">
        <v>1584242</v>
      </c>
      <c r="D558">
        <v>299</v>
      </c>
    </row>
    <row r="559" spans="1:4" x14ac:dyDescent="0.25">
      <c r="A559" t="str">
        <f>T("   382471")</f>
        <v xml:space="preserve">   382471</v>
      </c>
      <c r="B559" t="str">
        <f>T("   Mélanges contenant des hydrocarbures acycliques perhalogènes uniquement avec du fluor et du chlore")</f>
        <v xml:space="preserve">   Mélanges contenant des hydrocarbures acycliques perhalogènes uniquement avec du fluor et du chlore</v>
      </c>
      <c r="C559">
        <v>22913233</v>
      </c>
      <c r="D559">
        <v>13280</v>
      </c>
    </row>
    <row r="560" spans="1:4" x14ac:dyDescent="0.25">
      <c r="A560" t="str">
        <f>T("   382490")</f>
        <v xml:space="preserve">   382490</v>
      </c>
      <c r="B560"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560">
        <v>5018422</v>
      </c>
      <c r="D560">
        <v>2484</v>
      </c>
    </row>
    <row r="561" spans="1:4" x14ac:dyDescent="0.25">
      <c r="A561" t="str">
        <f>T("   390410")</f>
        <v xml:space="preserve">   390410</v>
      </c>
      <c r="B561" t="str">
        <f>T("   Poly[chlorure de vinyle], sous formes primaires, non mélangé à d'autres substances")</f>
        <v xml:space="preserve">   Poly[chlorure de vinyle], sous formes primaires, non mélangé à d'autres substances</v>
      </c>
      <c r="C561">
        <v>43900779</v>
      </c>
      <c r="D561">
        <v>117675</v>
      </c>
    </row>
    <row r="562" spans="1:4" x14ac:dyDescent="0.25">
      <c r="A562" t="str">
        <f>T("   390690")</f>
        <v xml:space="preserve">   390690</v>
      </c>
      <c r="B562" t="str">
        <f>T("   Polymères acryliques, sous formes primaires (à l'excl. du poly[méthacrylate de méthyle])")</f>
        <v xml:space="preserve">   Polymères acryliques, sous formes primaires (à l'excl. du poly[méthacrylate de méthyle])</v>
      </c>
      <c r="C562">
        <v>43718993</v>
      </c>
      <c r="D562">
        <v>19811</v>
      </c>
    </row>
    <row r="563" spans="1:4" x14ac:dyDescent="0.25">
      <c r="A563" t="str">
        <f>T("   390730")</f>
        <v xml:space="preserve">   390730</v>
      </c>
      <c r="B563" t="str">
        <f>T("   Résines époxydes, sous formes primaires")</f>
        <v xml:space="preserve">   Résines époxydes, sous formes primaires</v>
      </c>
      <c r="C563">
        <v>13291750</v>
      </c>
      <c r="D563">
        <v>576</v>
      </c>
    </row>
    <row r="564" spans="1:4" x14ac:dyDescent="0.25">
      <c r="A564" t="str">
        <f>T("   390750")</f>
        <v xml:space="preserve">   390750</v>
      </c>
      <c r="B564" t="str">
        <f>T("   Résines alkydes, sous formes primaires")</f>
        <v xml:space="preserve">   Résines alkydes, sous formes primaires</v>
      </c>
      <c r="C564">
        <v>14215965</v>
      </c>
      <c r="D564">
        <v>18000</v>
      </c>
    </row>
    <row r="565" spans="1:4" x14ac:dyDescent="0.25">
      <c r="A565" t="str">
        <f>T("   390799")</f>
        <v xml:space="preserve">   390799</v>
      </c>
      <c r="B565"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565">
        <v>11872220</v>
      </c>
      <c r="D565">
        <v>6312</v>
      </c>
    </row>
    <row r="566" spans="1:4" x14ac:dyDescent="0.25">
      <c r="A566" t="str">
        <f>T("   390930")</f>
        <v xml:space="preserve">   390930</v>
      </c>
      <c r="B566" t="str">
        <f>T("   Résines aminiques, sous formes primaires (à l'excl. des résines de thiourée ainsi que des résines uréiques ou mélaminiques)")</f>
        <v xml:space="preserve">   Résines aminiques, sous formes primaires (à l'excl. des résines de thiourée ainsi que des résines uréiques ou mélaminiques)</v>
      </c>
      <c r="C566">
        <v>33370430</v>
      </c>
      <c r="D566">
        <v>18144</v>
      </c>
    </row>
    <row r="567" spans="1:4" x14ac:dyDescent="0.25">
      <c r="A567" t="str">
        <f>T("   390950")</f>
        <v xml:space="preserve">   390950</v>
      </c>
      <c r="B567" t="str">
        <f>T("   Polyuréthannes, sous formes primaires")</f>
        <v xml:space="preserve">   Polyuréthannes, sous formes primaires</v>
      </c>
      <c r="C567">
        <v>2276681</v>
      </c>
      <c r="D567">
        <v>333</v>
      </c>
    </row>
    <row r="568" spans="1:4" x14ac:dyDescent="0.25">
      <c r="A568" t="str">
        <f>T("   391000")</f>
        <v xml:space="preserve">   391000</v>
      </c>
      <c r="B568" t="str">
        <f>T("   Silicones sous formes primaires")</f>
        <v xml:space="preserve">   Silicones sous formes primaires</v>
      </c>
      <c r="C568">
        <v>1062982</v>
      </c>
      <c r="D568">
        <v>1102</v>
      </c>
    </row>
    <row r="569" spans="1:4" x14ac:dyDescent="0.25">
      <c r="A569" t="str">
        <f>T("   391220")</f>
        <v xml:space="preserve">   391220</v>
      </c>
      <c r="B569" t="str">
        <f>T("   Nitrates de cellulose, y.c. les collodions, sous formes primaires")</f>
        <v xml:space="preserve">   Nitrates de cellulose, y.c. les collodions, sous formes primaires</v>
      </c>
      <c r="C569">
        <v>15630007</v>
      </c>
      <c r="D569">
        <v>7300</v>
      </c>
    </row>
    <row r="570" spans="1:4" x14ac:dyDescent="0.25">
      <c r="A570" t="str">
        <f>T("   391690")</f>
        <v xml:space="preserve">   391690</v>
      </c>
      <c r="B570" t="s">
        <v>124</v>
      </c>
      <c r="C570">
        <v>526080</v>
      </c>
      <c r="D570">
        <v>33</v>
      </c>
    </row>
    <row r="571" spans="1:4" x14ac:dyDescent="0.25">
      <c r="A571" t="str">
        <f>T("   391721")</f>
        <v xml:space="preserve">   391721</v>
      </c>
      <c r="B571" t="str">
        <f>T("   TUBES ET TUYAUX RIGIDES, EN POLYMÈRES DE L'ÉTHYLÈNE")</f>
        <v xml:space="preserve">   TUBES ET TUYAUX RIGIDES, EN POLYMÈRES DE L'ÉTHYLÈNE</v>
      </c>
      <c r="C571">
        <v>19906858</v>
      </c>
      <c r="D571">
        <v>152</v>
      </c>
    </row>
    <row r="572" spans="1:4" x14ac:dyDescent="0.25">
      <c r="A572" t="str">
        <f>T("   391731")</f>
        <v xml:space="preserve">   391731</v>
      </c>
      <c r="B572" t="str">
        <f>T("   Tubes et tuyaux souples, en matières plastiques, pouvant supporter une pression &gt;= 27,6 MPa, même munis d'accessoires")</f>
        <v xml:space="preserve">   Tubes et tuyaux souples, en matières plastiques, pouvant supporter une pression &gt;= 27,6 MPa, même munis d'accessoires</v>
      </c>
      <c r="C572">
        <v>9787306</v>
      </c>
      <c r="D572">
        <v>784</v>
      </c>
    </row>
    <row r="573" spans="1:4" x14ac:dyDescent="0.25">
      <c r="A573" t="str">
        <f>T("   391739")</f>
        <v xml:space="preserve">   391739</v>
      </c>
      <c r="B573"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573">
        <v>656</v>
      </c>
      <c r="D573">
        <v>7</v>
      </c>
    </row>
    <row r="574" spans="1:4" x14ac:dyDescent="0.25">
      <c r="A574" t="str">
        <f>T("   391740")</f>
        <v xml:space="preserve">   391740</v>
      </c>
      <c r="B574" t="str">
        <f>T("   Accessoires pour tubes ou tuyaux [joints, coudes, raccords, par exemple], en matières plastiques")</f>
        <v xml:space="preserve">   Accessoires pour tubes ou tuyaux [joints, coudes, raccords, par exemple], en matières plastiques</v>
      </c>
      <c r="C574">
        <v>50509</v>
      </c>
      <c r="D574">
        <v>5</v>
      </c>
    </row>
    <row r="575" spans="1:4" x14ac:dyDescent="0.25">
      <c r="A575" t="str">
        <f>T("   391890")</f>
        <v xml:space="preserve">   391890</v>
      </c>
      <c r="B575" t="s">
        <v>126</v>
      </c>
      <c r="C575">
        <v>250577</v>
      </c>
      <c r="D575">
        <v>80</v>
      </c>
    </row>
    <row r="576" spans="1:4" x14ac:dyDescent="0.25">
      <c r="A576" t="str">
        <f>T("   391990")</f>
        <v xml:space="preserve">   391990</v>
      </c>
      <c r="B576" t="s">
        <v>127</v>
      </c>
      <c r="C576">
        <v>1823627</v>
      </c>
      <c r="D576">
        <v>880</v>
      </c>
    </row>
    <row r="577" spans="1:4" x14ac:dyDescent="0.25">
      <c r="A577" t="str">
        <f>T("   392049")</f>
        <v xml:space="preserve">   392049</v>
      </c>
      <c r="B577" t="s">
        <v>131</v>
      </c>
      <c r="C577">
        <v>8200</v>
      </c>
      <c r="D577">
        <v>5</v>
      </c>
    </row>
    <row r="578" spans="1:4" x14ac:dyDescent="0.25">
      <c r="A578" t="str">
        <f>T("   392099")</f>
        <v xml:space="preserve">   392099</v>
      </c>
      <c r="B578" t="s">
        <v>137</v>
      </c>
      <c r="C578">
        <v>11807</v>
      </c>
      <c r="D578">
        <v>1</v>
      </c>
    </row>
    <row r="579" spans="1:4" x14ac:dyDescent="0.25">
      <c r="A579" t="str">
        <f>T("   392310")</f>
        <v xml:space="preserve">   392310</v>
      </c>
      <c r="B579" t="str">
        <f>T("   Boîtes, caisses, casiers et articles simil. pour le transport ou l'emballage, en matières plastiques")</f>
        <v xml:space="preserve">   Boîtes, caisses, casiers et articles simil. pour le transport ou l'emballage, en matières plastiques</v>
      </c>
      <c r="C579">
        <v>150000</v>
      </c>
      <c r="D579">
        <v>40</v>
      </c>
    </row>
    <row r="580" spans="1:4" x14ac:dyDescent="0.25">
      <c r="A580" t="str">
        <f>T("   392329")</f>
        <v xml:space="preserve">   392329</v>
      </c>
      <c r="B580" t="str">
        <f>T("   Sacs, sachets, pochettes et cornets, en matières plastiques (autres que les polymères de l'éthylène)")</f>
        <v xml:space="preserve">   Sacs, sachets, pochettes et cornets, en matières plastiques (autres que les polymères de l'éthylène)</v>
      </c>
      <c r="C580">
        <v>1769056</v>
      </c>
      <c r="D580">
        <v>350</v>
      </c>
    </row>
    <row r="581" spans="1:4" x14ac:dyDescent="0.25">
      <c r="A581" t="str">
        <f>T("   392330")</f>
        <v xml:space="preserve">   392330</v>
      </c>
      <c r="B581" t="str">
        <f>T("   Bonbonnes, bouteilles, flacons et articles simil. pour le transport ou l'emballage, en matières plastiques")</f>
        <v xml:space="preserve">   Bonbonnes, bouteilles, flacons et articles simil. pour le transport ou l'emballage, en matières plastiques</v>
      </c>
      <c r="C581">
        <v>2387038</v>
      </c>
      <c r="D581">
        <v>345</v>
      </c>
    </row>
    <row r="582" spans="1:4" x14ac:dyDescent="0.25">
      <c r="A582" t="str">
        <f>T("   392350")</f>
        <v xml:space="preserve">   392350</v>
      </c>
      <c r="B582" t="str">
        <f>T("   Bouchons, couvercles, capsules et autres dispositifs de fermeture, en matières plastiques")</f>
        <v xml:space="preserve">   Bouchons, couvercles, capsules et autres dispositifs de fermeture, en matières plastiques</v>
      </c>
      <c r="C582">
        <v>213187</v>
      </c>
      <c r="D582">
        <v>27</v>
      </c>
    </row>
    <row r="583" spans="1:4" x14ac:dyDescent="0.25">
      <c r="A583" t="str">
        <f>T("   392390")</f>
        <v xml:space="preserve">   392390</v>
      </c>
      <c r="B583" t="s">
        <v>142</v>
      </c>
      <c r="C583">
        <v>1331133</v>
      </c>
      <c r="D583">
        <v>3000</v>
      </c>
    </row>
    <row r="584" spans="1:4" x14ac:dyDescent="0.25">
      <c r="A584" t="str">
        <f>T("   392410")</f>
        <v xml:space="preserve">   392410</v>
      </c>
      <c r="B584" t="str">
        <f>T("   Vaisselle et autres articles pour le service de la table ou de la cuisine, en matières plastiques")</f>
        <v xml:space="preserve">   Vaisselle et autres articles pour le service de la table ou de la cuisine, en matières plastiques</v>
      </c>
      <c r="C584">
        <v>7596</v>
      </c>
      <c r="D584">
        <v>18</v>
      </c>
    </row>
    <row r="585" spans="1:4" x14ac:dyDescent="0.25">
      <c r="A585" t="str">
        <f>T("   392590")</f>
        <v xml:space="preserve">   392590</v>
      </c>
      <c r="B585" t="s">
        <v>144</v>
      </c>
      <c r="C585">
        <v>35776</v>
      </c>
      <c r="D585">
        <v>41</v>
      </c>
    </row>
    <row r="586" spans="1:4" x14ac:dyDescent="0.25">
      <c r="A586" t="str">
        <f>T("   392610")</f>
        <v xml:space="preserve">   392610</v>
      </c>
      <c r="B586" t="str">
        <f>T("   Articles de bureau et articles scolaires, en matières plastiques, n.d.a.")</f>
        <v xml:space="preserve">   Articles de bureau et articles scolaires, en matières plastiques, n.d.a.</v>
      </c>
      <c r="C586">
        <v>271502</v>
      </c>
      <c r="D586">
        <v>132</v>
      </c>
    </row>
    <row r="587" spans="1:4" x14ac:dyDescent="0.25">
      <c r="A587" t="str">
        <f>T("   392690")</f>
        <v xml:space="preserve">   392690</v>
      </c>
      <c r="B587" t="str">
        <f>T("   Ouvrages en matières plastiques et ouvrages en autres matières du n° 3901 à 3914, n.d.a.")</f>
        <v xml:space="preserve">   Ouvrages en matières plastiques et ouvrages en autres matières du n° 3901 à 3914, n.d.a.</v>
      </c>
      <c r="C587">
        <v>5319179</v>
      </c>
      <c r="D587">
        <v>596</v>
      </c>
    </row>
    <row r="588" spans="1:4" x14ac:dyDescent="0.25">
      <c r="A588" t="str">
        <f>T("   400211")</f>
        <v xml:space="preserve">   400211</v>
      </c>
      <c r="B588" t="str">
        <f>T("   Latex de caoutchouc styrène-butadiène [SBR] ou de caoutchouc styrène-butadiène carboxylé [XSBR]")</f>
        <v xml:space="preserve">   Latex de caoutchouc styrène-butadiène [SBR] ou de caoutchouc styrène-butadiène carboxylé [XSBR]</v>
      </c>
      <c r="C588">
        <v>879301</v>
      </c>
      <c r="D588">
        <v>260</v>
      </c>
    </row>
    <row r="589" spans="1:4" x14ac:dyDescent="0.25">
      <c r="A589" t="str">
        <f>T("   400911")</f>
        <v xml:space="preserve">   400911</v>
      </c>
      <c r="B589"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589">
        <v>11986798</v>
      </c>
      <c r="D589">
        <v>1437</v>
      </c>
    </row>
    <row r="590" spans="1:4" x14ac:dyDescent="0.25">
      <c r="A590" t="str">
        <f>T("   400921")</f>
        <v xml:space="preserve">   400921</v>
      </c>
      <c r="B590" t="str">
        <f>T("   Tubes et tuyaux en caoutchouc vulcanisé non durci, renforcés seulement à l'aide de métal ou autrement associés seulement à du métal, sans accessoires")</f>
        <v xml:space="preserve">   Tubes et tuyaux en caoutchouc vulcanisé non durci, renforcés seulement à l'aide de métal ou autrement associés seulement à du métal, sans accessoires</v>
      </c>
      <c r="C590">
        <v>19347541</v>
      </c>
      <c r="D590">
        <v>844</v>
      </c>
    </row>
    <row r="591" spans="1:4" x14ac:dyDescent="0.25">
      <c r="A591" t="str">
        <f>T("   400931")</f>
        <v xml:space="preserve">   400931</v>
      </c>
      <c r="B591" t="str">
        <f>T("   Tubes et tuyaux en caoutchouc vulcanisé non durci, renforcés seulement à l'aide de matières textiles ou autrement associés seulement à des matières textiles, sans accessoires")</f>
        <v xml:space="preserve">   Tubes et tuyaux en caoutchouc vulcanisé non durci, renforcés seulement à l'aide de matières textiles ou autrement associés seulement à des matières textiles, sans accessoires</v>
      </c>
      <c r="C591">
        <v>667112</v>
      </c>
      <c r="D591">
        <v>28</v>
      </c>
    </row>
    <row r="592" spans="1:4" x14ac:dyDescent="0.25">
      <c r="A592" t="str">
        <f>T("   400941")</f>
        <v xml:space="preserve">   400941</v>
      </c>
      <c r="B592"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592">
        <v>1105949</v>
      </c>
      <c r="D592">
        <v>92</v>
      </c>
    </row>
    <row r="593" spans="1:4" x14ac:dyDescent="0.25">
      <c r="A593" t="str">
        <f>T("   400942")</f>
        <v xml:space="preserve">   400942</v>
      </c>
      <c r="B593" t="s">
        <v>150</v>
      </c>
      <c r="C593">
        <v>1702872</v>
      </c>
      <c r="D593">
        <v>80</v>
      </c>
    </row>
    <row r="594" spans="1:4" x14ac:dyDescent="0.25">
      <c r="A594" t="str">
        <f>T("   401011")</f>
        <v xml:space="preserve">   401011</v>
      </c>
      <c r="B594" t="str">
        <f>T("   Courroies transporteuses, en caoutchouc vulcanisé, renforcées seulement de métal")</f>
        <v xml:space="preserve">   Courroies transporteuses, en caoutchouc vulcanisé, renforcées seulement de métal</v>
      </c>
      <c r="C594">
        <v>3048902</v>
      </c>
      <c r="D594">
        <v>212</v>
      </c>
    </row>
    <row r="595" spans="1:4" x14ac:dyDescent="0.25">
      <c r="A595" t="str">
        <f>T("   401012")</f>
        <v xml:space="preserve">   401012</v>
      </c>
      <c r="B595" t="str">
        <f>T("   Courroies transporteuses, en caoutchouc vulcanisé, renforcées seulement de matières textiles")</f>
        <v xml:space="preserve">   Courroies transporteuses, en caoutchouc vulcanisé, renforcées seulement de matières textiles</v>
      </c>
      <c r="C595">
        <v>2033476</v>
      </c>
      <c r="D595">
        <v>370</v>
      </c>
    </row>
    <row r="596" spans="1:4" x14ac:dyDescent="0.25">
      <c r="A596" t="str">
        <f>T("   401019")</f>
        <v xml:space="preserve">   401019</v>
      </c>
      <c r="B596"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596">
        <v>159398</v>
      </c>
      <c r="D596">
        <v>4</v>
      </c>
    </row>
    <row r="597" spans="1:4" x14ac:dyDescent="0.25">
      <c r="A597" t="str">
        <f>T("   401032")</f>
        <v xml:space="preserve">   401032</v>
      </c>
      <c r="B597" t="str">
        <f>T("   Courroies de transmission sans fin de section trapézoïdale, en caoutchouc vulcanisé, d'une circonférence extérieure &gt; 60 cm mais &lt;= 180 cm (sauf striées)")</f>
        <v xml:space="preserve">   Courroies de transmission sans fin de section trapézoïdale, en caoutchouc vulcanisé, d'une circonférence extérieure &gt; 60 cm mais &lt;= 180 cm (sauf striées)</v>
      </c>
      <c r="C597">
        <v>62316</v>
      </c>
      <c r="D597">
        <v>3</v>
      </c>
    </row>
    <row r="598" spans="1:4" x14ac:dyDescent="0.25">
      <c r="A598" t="str">
        <f>T("   401039")</f>
        <v xml:space="preserve">   401039</v>
      </c>
      <c r="B598" t="s">
        <v>151</v>
      </c>
      <c r="C598">
        <v>6244737</v>
      </c>
      <c r="D598">
        <v>229</v>
      </c>
    </row>
    <row r="599" spans="1:4" x14ac:dyDescent="0.25">
      <c r="A599" t="str">
        <f>T("   401110")</f>
        <v xml:space="preserve">   401110</v>
      </c>
      <c r="B599"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599">
        <v>4367381</v>
      </c>
      <c r="D599">
        <v>5190</v>
      </c>
    </row>
    <row r="600" spans="1:4" x14ac:dyDescent="0.25">
      <c r="A600" t="str">
        <f>T("   401120")</f>
        <v xml:space="preserve">   401120</v>
      </c>
      <c r="B600"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600">
        <v>3282424</v>
      </c>
      <c r="D600">
        <v>936</v>
      </c>
    </row>
    <row r="601" spans="1:4" x14ac:dyDescent="0.25">
      <c r="A601" t="str">
        <f>T("   401199")</f>
        <v xml:space="preserve">   401199</v>
      </c>
      <c r="B601" t="s">
        <v>152</v>
      </c>
      <c r="C601">
        <v>1298801</v>
      </c>
      <c r="D601">
        <v>1213</v>
      </c>
    </row>
    <row r="602" spans="1:4" x14ac:dyDescent="0.25">
      <c r="A602" t="str">
        <f>T("   401211")</f>
        <v xml:space="preserve">   401211</v>
      </c>
      <c r="B602"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602">
        <v>247898999</v>
      </c>
      <c r="D602">
        <v>564814</v>
      </c>
    </row>
    <row r="603" spans="1:4" x14ac:dyDescent="0.25">
      <c r="A603" t="str">
        <f>T("   401212")</f>
        <v xml:space="preserve">   401212</v>
      </c>
      <c r="B603" t="str">
        <f>T("   Pneumatiques rechapés, en caoutchouc, des types utilisés pour les autobus ou camions")</f>
        <v xml:space="preserve">   Pneumatiques rechapés, en caoutchouc, des types utilisés pour les autobus ou camions</v>
      </c>
      <c r="C603">
        <v>1190000</v>
      </c>
      <c r="D603">
        <v>2300</v>
      </c>
    </row>
    <row r="604" spans="1:4" x14ac:dyDescent="0.25">
      <c r="A604" t="str">
        <f>T("   401219")</f>
        <v xml:space="preserve">   401219</v>
      </c>
      <c r="B604"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604">
        <v>385898</v>
      </c>
      <c r="D604">
        <v>1653</v>
      </c>
    </row>
    <row r="605" spans="1:4" x14ac:dyDescent="0.25">
      <c r="A605" t="str">
        <f>T("   401220")</f>
        <v xml:space="preserve">   401220</v>
      </c>
      <c r="B605" t="str">
        <f>T("   Pneumatiques usagés, en caoutchouc")</f>
        <v xml:space="preserve">   Pneumatiques usagés, en caoutchouc</v>
      </c>
      <c r="C605">
        <v>351583030</v>
      </c>
      <c r="D605">
        <v>882980</v>
      </c>
    </row>
    <row r="606" spans="1:4" x14ac:dyDescent="0.25">
      <c r="A606" t="str">
        <f>T("   401290")</f>
        <v xml:space="preserve">   401290</v>
      </c>
      <c r="B606" t="str">
        <f>T("   Bandages pleins ou creux [mi-pleins], bandes de roulement amovibles pour pneumatiques et flaps, en caoutchouc")</f>
        <v xml:space="preserve">   Bandages pleins ou creux [mi-pleins], bandes de roulement amovibles pour pneumatiques et flaps, en caoutchouc</v>
      </c>
      <c r="C606">
        <v>75261</v>
      </c>
      <c r="D606">
        <v>600</v>
      </c>
    </row>
    <row r="607" spans="1:4" x14ac:dyDescent="0.25">
      <c r="A607" t="str">
        <f>T("   401310")</f>
        <v xml:space="preserve">   401310</v>
      </c>
      <c r="B607"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607">
        <v>2294251</v>
      </c>
      <c r="D607">
        <v>14593</v>
      </c>
    </row>
    <row r="608" spans="1:4" x14ac:dyDescent="0.25">
      <c r="A608" t="str">
        <f>T("   401390")</f>
        <v xml:space="preserve">   401390</v>
      </c>
      <c r="B608"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608">
        <v>4234084</v>
      </c>
      <c r="D608">
        <v>40979</v>
      </c>
    </row>
    <row r="609" spans="1:4" x14ac:dyDescent="0.25">
      <c r="A609" t="str">
        <f>T("   401410")</f>
        <v xml:space="preserve">   401410</v>
      </c>
      <c r="B609" t="str">
        <f>T("   Préservatifs en caoutchouc vulcanisé non durci")</f>
        <v xml:space="preserve">   Préservatifs en caoutchouc vulcanisé non durci</v>
      </c>
      <c r="C609">
        <v>1198615</v>
      </c>
      <c r="D609">
        <v>1843</v>
      </c>
    </row>
    <row r="610" spans="1:4" x14ac:dyDescent="0.25">
      <c r="A610" t="str">
        <f>T("   401693")</f>
        <v xml:space="preserve">   401693</v>
      </c>
      <c r="B610" t="str">
        <f>T("   Joints en caoutchouc vulcanisé non durci (à l'excl. des articles en caoutchouc alvéolaire)")</f>
        <v xml:space="preserve">   Joints en caoutchouc vulcanisé non durci (à l'excl. des articles en caoutchouc alvéolaire)</v>
      </c>
      <c r="C610">
        <v>9417370</v>
      </c>
      <c r="D610">
        <v>1133.4000000000001</v>
      </c>
    </row>
    <row r="611" spans="1:4" x14ac:dyDescent="0.25">
      <c r="A611" t="str">
        <f>T("   401699")</f>
        <v xml:space="preserve">   401699</v>
      </c>
      <c r="B611" t="str">
        <f>T("   OUVRAGES EN CAOUTCHOUC VULCANISÉ NON-DURCI, N.D.A.")</f>
        <v xml:space="preserve">   OUVRAGES EN CAOUTCHOUC VULCANISÉ NON-DURCI, N.D.A.</v>
      </c>
      <c r="C611">
        <v>678919</v>
      </c>
      <c r="D611">
        <v>38</v>
      </c>
    </row>
    <row r="612" spans="1:4" x14ac:dyDescent="0.25">
      <c r="A612" t="str">
        <f>T("   420222")</f>
        <v xml:space="preserve">   420222</v>
      </c>
      <c r="B612"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612">
        <v>242781</v>
      </c>
      <c r="D612">
        <v>420</v>
      </c>
    </row>
    <row r="613" spans="1:4" x14ac:dyDescent="0.25">
      <c r="A613" t="str">
        <f>T("   420229")</f>
        <v xml:space="preserve">   420229</v>
      </c>
      <c r="B613"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13">
        <v>572459</v>
      </c>
      <c r="D613">
        <v>1090</v>
      </c>
    </row>
    <row r="614" spans="1:4" x14ac:dyDescent="0.25">
      <c r="A614" t="str">
        <f>T("   420232")</f>
        <v xml:space="preserve">   420232</v>
      </c>
      <c r="B614"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614">
        <v>656</v>
      </c>
      <c r="D614">
        <v>6</v>
      </c>
    </row>
    <row r="615" spans="1:4" x14ac:dyDescent="0.25">
      <c r="A615" t="str">
        <f>T("   420239")</f>
        <v xml:space="preserve">   420239</v>
      </c>
      <c r="B615" t="s">
        <v>158</v>
      </c>
      <c r="C615">
        <v>6908</v>
      </c>
      <c r="D615">
        <v>2</v>
      </c>
    </row>
    <row r="616" spans="1:4" x14ac:dyDescent="0.25">
      <c r="A616" t="str">
        <f>T("   420292")</f>
        <v xml:space="preserve">   420292</v>
      </c>
      <c r="B616" t="s">
        <v>159</v>
      </c>
      <c r="C616">
        <v>114918</v>
      </c>
      <c r="D616">
        <v>123</v>
      </c>
    </row>
    <row r="617" spans="1:4" x14ac:dyDescent="0.25">
      <c r="A617" t="str">
        <f>T("   420299")</f>
        <v xml:space="preserve">   420299</v>
      </c>
      <c r="B617" t="s">
        <v>160</v>
      </c>
      <c r="C617">
        <v>42637</v>
      </c>
      <c r="D617">
        <v>40</v>
      </c>
    </row>
    <row r="618" spans="1:4" x14ac:dyDescent="0.25">
      <c r="A618" t="str">
        <f>T("   440130")</f>
        <v xml:space="preserve">   440130</v>
      </c>
      <c r="B618" t="str">
        <f>T("   Sciures, déchets et débris de bois, même agglomérés sous forme de bûches, briquettes, boulettes ou sous formes simil.")</f>
        <v xml:space="preserve">   Sciures, déchets et débris de bois, même agglomérés sous forme de bûches, briquettes, boulettes ou sous formes simil.</v>
      </c>
      <c r="C618">
        <v>135725</v>
      </c>
      <c r="D618">
        <v>800</v>
      </c>
    </row>
    <row r="619" spans="1:4" x14ac:dyDescent="0.25">
      <c r="A619" t="str">
        <f>T("   440920")</f>
        <v xml:space="preserve">   440920</v>
      </c>
      <c r="B619" t="s">
        <v>168</v>
      </c>
      <c r="C619">
        <v>1501492</v>
      </c>
      <c r="D619">
        <v>750</v>
      </c>
    </row>
    <row r="620" spans="1:4" x14ac:dyDescent="0.25">
      <c r="A620" t="str">
        <f>T("   441300")</f>
        <v xml:space="preserve">   441300</v>
      </c>
      <c r="B620" t="str">
        <f>T("   Bois dits 'densifiés', en blocs, planches, lames ou profilés")</f>
        <v xml:space="preserve">   Bois dits 'densifiés', en blocs, planches, lames ou profilés</v>
      </c>
      <c r="C620">
        <v>1387355</v>
      </c>
      <c r="D620">
        <v>2010</v>
      </c>
    </row>
    <row r="621" spans="1:4" x14ac:dyDescent="0.25">
      <c r="A621" t="str">
        <f>T("   480255")</f>
        <v xml:space="preserve">   480255</v>
      </c>
      <c r="B621" t="s">
        <v>187</v>
      </c>
      <c r="C621">
        <v>53063884</v>
      </c>
      <c r="D621">
        <v>94673</v>
      </c>
    </row>
    <row r="622" spans="1:4" x14ac:dyDescent="0.25">
      <c r="A622" t="str">
        <f>T("   480257")</f>
        <v xml:space="preserve">   480257</v>
      </c>
      <c r="B622" t="s">
        <v>189</v>
      </c>
      <c r="C622">
        <v>92698958</v>
      </c>
      <c r="D622">
        <v>160856</v>
      </c>
    </row>
    <row r="623" spans="1:4" x14ac:dyDescent="0.25">
      <c r="A623" t="str">
        <f>T("   480258")</f>
        <v xml:space="preserve">   480258</v>
      </c>
      <c r="B623" t="s">
        <v>190</v>
      </c>
      <c r="C623">
        <v>21017568</v>
      </c>
      <c r="D623">
        <v>48468</v>
      </c>
    </row>
    <row r="624" spans="1:4" x14ac:dyDescent="0.25">
      <c r="A624" t="str">
        <f>T("   480262")</f>
        <v xml:space="preserve">   480262</v>
      </c>
      <c r="B624" t="s">
        <v>192</v>
      </c>
      <c r="C624">
        <v>446053</v>
      </c>
      <c r="D624">
        <v>800</v>
      </c>
    </row>
    <row r="625" spans="1:4" x14ac:dyDescent="0.25">
      <c r="A625" t="str">
        <f>T("   480419")</f>
        <v xml:space="preserve">   480419</v>
      </c>
      <c r="B625" t="str">
        <f>T("   PAPIERS ET CARTONS POUR COUVERTURE, DITS 'KRAFTLINER', NON-COUCHÉS NI ENDUITS, EN ROULEAUX D'UNE LARGEUR &gt; 36 CM (À L'EXCL. DES PAPIERS ET CARTONS ÉCRUS AINSI QUE DES ARTICLES DU N° 4802 OU 4803)")</f>
        <v xml:space="preserve">   PAPIERS ET CARTONS POUR COUVERTURE, DITS 'KRAFTLINER', NON-COUCHÉS NI ENDUITS, EN ROULEAUX D'UNE LARGEUR &gt; 36 CM (À L'EXCL. DES PAPIERS ET CARTONS ÉCRUS AINSI QUE DES ARTICLES DU N° 4802 OU 4803)</v>
      </c>
      <c r="C625">
        <v>42363515</v>
      </c>
      <c r="D625">
        <v>99222</v>
      </c>
    </row>
    <row r="626" spans="1:4" x14ac:dyDescent="0.25">
      <c r="A626" t="str">
        <f>T("   481019")</f>
        <v xml:space="preserve">   481019</v>
      </c>
      <c r="B626" t="s">
        <v>203</v>
      </c>
      <c r="C626">
        <v>10440679</v>
      </c>
      <c r="D626">
        <v>20340</v>
      </c>
    </row>
    <row r="627" spans="1:4" x14ac:dyDescent="0.25">
      <c r="A627" t="str">
        <f>T("   481029")</f>
        <v xml:space="preserve">   481029</v>
      </c>
      <c r="B627" t="s">
        <v>204</v>
      </c>
      <c r="C627">
        <v>68845559</v>
      </c>
      <c r="D627">
        <v>123036</v>
      </c>
    </row>
    <row r="628" spans="1:4" x14ac:dyDescent="0.25">
      <c r="A628" t="str">
        <f>T("   481099")</f>
        <v xml:space="preserve">   481099</v>
      </c>
      <c r="B628" t="s">
        <v>208</v>
      </c>
      <c r="C628">
        <v>3273857</v>
      </c>
      <c r="D628">
        <v>6417</v>
      </c>
    </row>
    <row r="629" spans="1:4" x14ac:dyDescent="0.25">
      <c r="A629" t="str">
        <f>T("   481149")</f>
        <v xml:space="preserve">   481149</v>
      </c>
      <c r="B629" t="str">
        <f>T("   Papiers et cartons gommés ou adhésifs, coloriés en surface, décorés en surface ou imprimés, en rouleaux ou en feuilles de forme carrée ou rectangulaire, de tout format (à l'excl. des papiers et cartons auto-adhésifs ainsi que des produits du n° 4810)")</f>
        <v xml:space="preserve">   Papiers et cartons gommés ou adhésifs, coloriés en surface, décorés en surface ou imprimés, en rouleaux ou en feuilles de forme carrée ou rectangulaire, de tout format (à l'excl. des papiers et cartons auto-adhésifs ainsi que des produits du n° 4810)</v>
      </c>
      <c r="C629">
        <v>210360</v>
      </c>
      <c r="D629">
        <v>69</v>
      </c>
    </row>
    <row r="630" spans="1:4" x14ac:dyDescent="0.25">
      <c r="A630" t="str">
        <f>T("   481620")</f>
        <v xml:space="preserve">   481620</v>
      </c>
      <c r="B630" t="s">
        <v>211</v>
      </c>
      <c r="C630">
        <v>19640931</v>
      </c>
      <c r="D630">
        <v>22873</v>
      </c>
    </row>
    <row r="631" spans="1:4" x14ac:dyDescent="0.25">
      <c r="A631" t="str">
        <f>T("   481810")</f>
        <v xml:space="preserve">   481810</v>
      </c>
      <c r="B631" t="str">
        <f>T("   Papier hygiénique, en rouleaux d'une largeur &lt;= 36 cm")</f>
        <v xml:space="preserve">   Papier hygiénique, en rouleaux d'une largeur &lt;= 36 cm</v>
      </c>
      <c r="C631">
        <v>27596615</v>
      </c>
      <c r="D631">
        <v>38440</v>
      </c>
    </row>
    <row r="632" spans="1:4" x14ac:dyDescent="0.25">
      <c r="A632" t="str">
        <f>T("   481820")</f>
        <v xml:space="preserve">   481820</v>
      </c>
      <c r="B632"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632">
        <v>5367065</v>
      </c>
      <c r="D632">
        <v>7722</v>
      </c>
    </row>
    <row r="633" spans="1:4" x14ac:dyDescent="0.25">
      <c r="A633" t="str">
        <f>T("   481840")</f>
        <v xml:space="preserve">   481840</v>
      </c>
      <c r="B633"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633">
        <v>3725196</v>
      </c>
      <c r="D633">
        <v>6036</v>
      </c>
    </row>
    <row r="634" spans="1:4" x14ac:dyDescent="0.25">
      <c r="A634" t="str">
        <f>T("   481920")</f>
        <v xml:space="preserve">   481920</v>
      </c>
      <c r="B634" t="str">
        <f>T("   Boîtes et cartonnages, pliants, en papier ou en carton non ondulé")</f>
        <v xml:space="preserve">   Boîtes et cartonnages, pliants, en papier ou en carton non ondulé</v>
      </c>
      <c r="C634">
        <v>7872</v>
      </c>
      <c r="D634">
        <v>7</v>
      </c>
    </row>
    <row r="635" spans="1:4" x14ac:dyDescent="0.25">
      <c r="A635" t="str">
        <f>T("   482010")</f>
        <v xml:space="preserve">   482010</v>
      </c>
      <c r="B635"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635">
        <v>886733</v>
      </c>
      <c r="D635">
        <v>386</v>
      </c>
    </row>
    <row r="636" spans="1:4" x14ac:dyDescent="0.25">
      <c r="A636" t="str">
        <f>T("   482030")</f>
        <v xml:space="preserve">   482030</v>
      </c>
      <c r="B636" t="str">
        <f>T("   Classeurs, reliures (autres que les couvertures pour livres), chemises et couvertures à dossiers, en papier ou en carton")</f>
        <v xml:space="preserve">   Classeurs, reliures (autres que les couvertures pour livres), chemises et couvertures à dossiers, en papier ou en carton</v>
      </c>
      <c r="C636">
        <v>140572</v>
      </c>
      <c r="D636">
        <v>60</v>
      </c>
    </row>
    <row r="637" spans="1:4" x14ac:dyDescent="0.25">
      <c r="A637" t="str">
        <f>T("   482090")</f>
        <v xml:space="preserve">   482090</v>
      </c>
      <c r="B637" t="s">
        <v>215</v>
      </c>
      <c r="C637">
        <v>200068</v>
      </c>
      <c r="D637">
        <v>787</v>
      </c>
    </row>
    <row r="638" spans="1:4" x14ac:dyDescent="0.25">
      <c r="A638" t="str">
        <f>T("   482190")</f>
        <v xml:space="preserve">   482190</v>
      </c>
      <c r="B638" t="str">
        <f>T("   ÉTIQUETTES DE TOUS GENRES, EN PAPIER OU EN CARTON, NON-IMPRIMÉES")</f>
        <v xml:space="preserve">   ÉTIQUETTES DE TOUS GENRES, EN PAPIER OU EN CARTON, NON-IMPRIMÉES</v>
      </c>
      <c r="C638">
        <v>250000</v>
      </c>
      <c r="D638">
        <v>50</v>
      </c>
    </row>
    <row r="639" spans="1:4" x14ac:dyDescent="0.25">
      <c r="A639" t="str">
        <f>T("   482390")</f>
        <v xml:space="preserve">   482390</v>
      </c>
      <c r="B639" t="s">
        <v>216</v>
      </c>
      <c r="C639">
        <v>11807</v>
      </c>
      <c r="D639">
        <v>47</v>
      </c>
    </row>
    <row r="640" spans="1:4" x14ac:dyDescent="0.25">
      <c r="A640" t="str">
        <f>T("   490191")</f>
        <v xml:space="preserve">   490191</v>
      </c>
      <c r="B640" t="str">
        <f>T("   Dictionnaires et encyclopédies, même en fascicules")</f>
        <v xml:space="preserve">   Dictionnaires et encyclopédies, même en fascicules</v>
      </c>
      <c r="C640">
        <v>3250646</v>
      </c>
      <c r="D640">
        <v>335</v>
      </c>
    </row>
    <row r="641" spans="1:4" x14ac:dyDescent="0.25">
      <c r="A641" t="str">
        <f>T("   490199")</f>
        <v xml:space="preserve">   490199</v>
      </c>
      <c r="B64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41">
        <v>41295171</v>
      </c>
      <c r="D641">
        <v>20033</v>
      </c>
    </row>
    <row r="642" spans="1:4" x14ac:dyDescent="0.25">
      <c r="A642" t="str">
        <f>T("   490290")</f>
        <v xml:space="preserve">   490290</v>
      </c>
      <c r="B642"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642">
        <v>1311920</v>
      </c>
      <c r="D642">
        <v>1754</v>
      </c>
    </row>
    <row r="643" spans="1:4" x14ac:dyDescent="0.25">
      <c r="A643" t="str">
        <f>T("   490300")</f>
        <v xml:space="preserve">   490300</v>
      </c>
      <c r="B643" t="str">
        <f>T("   Albums ou livres d'images et albums à dessiner ou à colorier, pour enfants")</f>
        <v xml:space="preserve">   Albums ou livres d'images et albums à dessiner ou à colorier, pour enfants</v>
      </c>
      <c r="C643">
        <v>11544896</v>
      </c>
      <c r="D643">
        <v>4000</v>
      </c>
    </row>
    <row r="644" spans="1:4" x14ac:dyDescent="0.25">
      <c r="A644" t="str">
        <f>T("   490600")</f>
        <v xml:space="preserve">   490600</v>
      </c>
      <c r="B644" t="s">
        <v>217</v>
      </c>
      <c r="C644">
        <v>4697236</v>
      </c>
      <c r="D644">
        <v>340</v>
      </c>
    </row>
    <row r="645" spans="1:4" x14ac:dyDescent="0.25">
      <c r="A645" t="str">
        <f>T("   491000")</f>
        <v xml:space="preserve">   491000</v>
      </c>
      <c r="B645" t="str">
        <f>T("   Calendriers de tous genres, imprimés, y.c. les blocs de calendriers à effeuiller")</f>
        <v xml:space="preserve">   Calendriers de tous genres, imprimés, y.c. les blocs de calendriers à effeuiller</v>
      </c>
      <c r="C645">
        <v>2461779</v>
      </c>
      <c r="D645">
        <v>1218</v>
      </c>
    </row>
    <row r="646" spans="1:4" x14ac:dyDescent="0.25">
      <c r="A646" t="str">
        <f>T("   491110")</f>
        <v xml:space="preserve">   491110</v>
      </c>
      <c r="B646" t="str">
        <f>T("   Imprimés publicitaires, catalogues commerciaux et simil.")</f>
        <v xml:space="preserve">   Imprimés publicitaires, catalogues commerciaux et simil.</v>
      </c>
      <c r="C646">
        <v>1822512</v>
      </c>
      <c r="D646">
        <v>1077</v>
      </c>
    </row>
    <row r="647" spans="1:4" x14ac:dyDescent="0.25">
      <c r="A647" t="str">
        <f>T("   491199")</f>
        <v xml:space="preserve">   491199</v>
      </c>
      <c r="B647" t="str">
        <f>T("   Imprimés, n.d.a.")</f>
        <v xml:space="preserve">   Imprimés, n.d.a.</v>
      </c>
      <c r="C647">
        <v>638905</v>
      </c>
      <c r="D647">
        <v>80</v>
      </c>
    </row>
    <row r="648" spans="1:4" x14ac:dyDescent="0.25">
      <c r="A648" t="str">
        <f>T("   520852")</f>
        <v xml:space="preserve">   520852</v>
      </c>
      <c r="B648" t="str">
        <f>T("   Tissus de coton, imprimés, à armure toile, contenant &gt;= 85% en poids de coton, d'un poids &gt; 100 g/m² mais &lt;= 200 g/m²")</f>
        <v xml:space="preserve">   Tissus de coton, imprimés, à armure toile, contenant &gt;= 85% en poids de coton, d'un poids &gt; 100 g/m² mais &lt;= 200 g/m²</v>
      </c>
      <c r="C648">
        <v>60201000</v>
      </c>
      <c r="D648">
        <v>11889</v>
      </c>
    </row>
    <row r="649" spans="1:4" x14ac:dyDescent="0.25">
      <c r="A649" t="str">
        <f>T("   520929")</f>
        <v xml:space="preserve">   520929</v>
      </c>
      <c r="B649"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649">
        <v>1000339</v>
      </c>
      <c r="D649">
        <v>1875</v>
      </c>
    </row>
    <row r="650" spans="1:4" x14ac:dyDescent="0.25">
      <c r="A650" t="str">
        <f>T("   540773")</f>
        <v xml:space="preserve">   540773</v>
      </c>
      <c r="B650" t="s">
        <v>225</v>
      </c>
      <c r="C650">
        <v>33594861</v>
      </c>
      <c r="D650">
        <v>10207</v>
      </c>
    </row>
    <row r="651" spans="1:4" x14ac:dyDescent="0.25">
      <c r="A651" t="str">
        <f>T("   551211")</f>
        <v xml:space="preserve">   551211</v>
      </c>
      <c r="B651" t="str">
        <f>T("   Tissus, écrus ou blanchis, de fibres discontinues de polyester, contenant &gt;= 85% en poids de ces fibres")</f>
        <v xml:space="preserve">   Tissus, écrus ou blanchis, de fibres discontinues de polyester, contenant &gt;= 85% en poids de ces fibres</v>
      </c>
      <c r="C651">
        <v>3706322</v>
      </c>
      <c r="D651">
        <v>240</v>
      </c>
    </row>
    <row r="652" spans="1:4" x14ac:dyDescent="0.25">
      <c r="A652" t="str">
        <f>T("   560121")</f>
        <v xml:space="preserve">   560121</v>
      </c>
      <c r="B652" t="s">
        <v>236</v>
      </c>
      <c r="C652">
        <v>1912123</v>
      </c>
      <c r="D652">
        <v>2380</v>
      </c>
    </row>
    <row r="653" spans="1:4" x14ac:dyDescent="0.25">
      <c r="A653" t="str">
        <f>T("   560749")</f>
        <v xml:space="preserve">   560749</v>
      </c>
      <c r="B653"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653">
        <v>604139</v>
      </c>
      <c r="D653">
        <v>830</v>
      </c>
    </row>
    <row r="654" spans="1:4" x14ac:dyDescent="0.25">
      <c r="A654" t="str">
        <f>T("   570500")</f>
        <v xml:space="preserve">   570500</v>
      </c>
      <c r="B654"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654">
        <v>469668</v>
      </c>
      <c r="D654">
        <v>1693</v>
      </c>
    </row>
    <row r="655" spans="1:4" x14ac:dyDescent="0.25">
      <c r="A655" t="str">
        <f>T("   610469")</f>
        <v xml:space="preserve">   610469</v>
      </c>
      <c r="B655" t="s">
        <v>254</v>
      </c>
      <c r="C655">
        <v>200000</v>
      </c>
      <c r="D655">
        <v>200</v>
      </c>
    </row>
    <row r="656" spans="1:4" x14ac:dyDescent="0.25">
      <c r="A656" t="str">
        <f>T("   610910")</f>
        <v xml:space="preserve">   610910</v>
      </c>
      <c r="B656" t="str">
        <f>T("   T-shirts et maillots de corps, en bonneterie, de coton,")</f>
        <v xml:space="preserve">   T-shirts et maillots de corps, en bonneterie, de coton,</v>
      </c>
      <c r="C656">
        <v>203629</v>
      </c>
      <c r="D656">
        <v>250</v>
      </c>
    </row>
    <row r="657" spans="1:4" x14ac:dyDescent="0.25">
      <c r="A657" t="str">
        <f>T("   611020")</f>
        <v xml:space="preserve">   611020</v>
      </c>
      <c r="B657" t="str">
        <f>T("   Chandails, pull-overs, cardigans, gilets et articles simil., y.c. les sous-pulls, en bonneterie, de coton (sauf gilets ouatinés)")</f>
        <v xml:space="preserve">   Chandails, pull-overs, cardigans, gilets et articles simil., y.c. les sous-pulls, en bonneterie, de coton (sauf gilets ouatinés)</v>
      </c>
      <c r="C657">
        <v>59692</v>
      </c>
      <c r="D657">
        <v>22</v>
      </c>
    </row>
    <row r="658" spans="1:4" x14ac:dyDescent="0.25">
      <c r="A658" t="str">
        <f>T("   611490")</f>
        <v xml:space="preserve">   611490</v>
      </c>
      <c r="B658"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658">
        <v>2076753</v>
      </c>
      <c r="D658">
        <v>2527</v>
      </c>
    </row>
    <row r="659" spans="1:4" x14ac:dyDescent="0.25">
      <c r="A659" t="str">
        <f>T("   611710")</f>
        <v xml:space="preserve">   611710</v>
      </c>
      <c r="B659" t="str">
        <f>T("   Châles, écharpes, foulards, cache-nez, cache-col, mantilles, voiles, voilettes et articles simil., en bonneterie")</f>
        <v xml:space="preserve">   Châles, écharpes, foulards, cache-nez, cache-col, mantilles, voiles, voilettes et articles simil., en bonneterie</v>
      </c>
      <c r="C659">
        <v>16543</v>
      </c>
      <c r="D659">
        <v>1</v>
      </c>
    </row>
    <row r="660" spans="1:4" x14ac:dyDescent="0.25">
      <c r="A660" t="str">
        <f>T("   620319")</f>
        <v xml:space="preserve">   620319</v>
      </c>
      <c r="B660" t="s">
        <v>260</v>
      </c>
      <c r="C660">
        <v>2500290</v>
      </c>
      <c r="D660">
        <v>6900</v>
      </c>
    </row>
    <row r="661" spans="1:4" x14ac:dyDescent="0.25">
      <c r="A661" t="str">
        <f>T("   620520")</f>
        <v xml:space="preserve">   620520</v>
      </c>
      <c r="B661"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661">
        <v>100000</v>
      </c>
      <c r="D661">
        <v>75</v>
      </c>
    </row>
    <row r="662" spans="1:4" x14ac:dyDescent="0.25">
      <c r="A662" t="str">
        <f>T("   620590")</f>
        <v xml:space="preserve">   620590</v>
      </c>
      <c r="B66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62">
        <v>5571612</v>
      </c>
      <c r="D662">
        <v>5610</v>
      </c>
    </row>
    <row r="663" spans="1:4" x14ac:dyDescent="0.25">
      <c r="A663" t="str">
        <f>T("   621040")</f>
        <v xml:space="preserve">   621040</v>
      </c>
      <c r="B663" t="s">
        <v>265</v>
      </c>
      <c r="C663">
        <v>4376724</v>
      </c>
      <c r="D663">
        <v>9150</v>
      </c>
    </row>
    <row r="664" spans="1:4" x14ac:dyDescent="0.25">
      <c r="A664" t="str">
        <f>T("   621143")</f>
        <v xml:space="preserve">   621143</v>
      </c>
      <c r="B664" t="str">
        <f>T("   Survêtements de sport 'trainings' et autres vêtements n.d.a., de fibres synthétiques ou artificielles, pour femmes ou fillettes (autres qu'en bonneterie)")</f>
        <v xml:space="preserve">   Survêtements de sport 'trainings' et autres vêtements n.d.a., de fibres synthétiques ou artificielles, pour femmes ou fillettes (autres qu'en bonneterie)</v>
      </c>
      <c r="C664">
        <v>623155</v>
      </c>
      <c r="D664">
        <v>50</v>
      </c>
    </row>
    <row r="665" spans="1:4" x14ac:dyDescent="0.25">
      <c r="A665" t="str">
        <f>T("   630259")</f>
        <v xml:space="preserve">   630259</v>
      </c>
      <c r="B665" t="str">
        <f>T("   LINGE DE TABLE DE MATIÈRES TEXTILES (AUTRE QUE DE COTON, FIBRES SYNTHÉTIQUES OU ARTIFICIELLES, AUTRE QU'EN BONNETERIE)")</f>
        <v xml:space="preserve">   LINGE DE TABLE DE MATIÈRES TEXTILES (AUTRE QUE DE COTON, FIBRES SYNTHÉTIQUES OU ARTIFICIELLES, AUTRE QU'EN BONNETERIE)</v>
      </c>
      <c r="C665">
        <v>15339</v>
      </c>
      <c r="D665">
        <v>33</v>
      </c>
    </row>
    <row r="666" spans="1:4" x14ac:dyDescent="0.25">
      <c r="A666" t="str">
        <f>T("   630790")</f>
        <v xml:space="preserve">   630790</v>
      </c>
      <c r="B666" t="str">
        <f>T("   Articles de matières textiles, confectionnés, y.c. les patrons de vêtements n.d.a.")</f>
        <v xml:space="preserve">   Articles de matières textiles, confectionnés, y.c. les patrons de vêtements n.d.a.</v>
      </c>
      <c r="C666">
        <v>253496</v>
      </c>
      <c r="D666">
        <v>52</v>
      </c>
    </row>
    <row r="667" spans="1:4" x14ac:dyDescent="0.25">
      <c r="A667" t="str">
        <f>T("   630900")</f>
        <v xml:space="preserve">   630900</v>
      </c>
      <c r="B667" t="s">
        <v>273</v>
      </c>
      <c r="C667">
        <v>2480230198</v>
      </c>
      <c r="D667">
        <v>4673439</v>
      </c>
    </row>
    <row r="668" spans="1:4" x14ac:dyDescent="0.25">
      <c r="A668" t="str">
        <f>T("   640340")</f>
        <v xml:space="preserve">   640340</v>
      </c>
      <c r="B668"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668">
        <v>623155</v>
      </c>
      <c r="D668">
        <v>50</v>
      </c>
    </row>
    <row r="669" spans="1:4" x14ac:dyDescent="0.25">
      <c r="A669" t="str">
        <f>T("   650590")</f>
        <v xml:space="preserve">   650590</v>
      </c>
      <c r="B669" t="s">
        <v>284</v>
      </c>
      <c r="C669">
        <v>1360090</v>
      </c>
      <c r="D669">
        <v>522</v>
      </c>
    </row>
    <row r="670" spans="1:4" x14ac:dyDescent="0.25">
      <c r="A670" t="str">
        <f>T("   670290")</f>
        <v xml:space="preserve">   670290</v>
      </c>
      <c r="B670"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670">
        <v>150000</v>
      </c>
      <c r="D670">
        <v>1400</v>
      </c>
    </row>
    <row r="671" spans="1:4" x14ac:dyDescent="0.25">
      <c r="A671" t="str">
        <f>T("   680229")</f>
        <v xml:space="preserve">   680229</v>
      </c>
      <c r="B671" t="s">
        <v>288</v>
      </c>
      <c r="C671">
        <v>472291</v>
      </c>
      <c r="D671">
        <v>860</v>
      </c>
    </row>
    <row r="672" spans="1:4" x14ac:dyDescent="0.25">
      <c r="A672" t="str">
        <f>T("   680299")</f>
        <v xml:space="preserve">   680299</v>
      </c>
      <c r="B672" t="s">
        <v>290</v>
      </c>
      <c r="C672">
        <v>152104911</v>
      </c>
      <c r="D672">
        <v>1533984</v>
      </c>
    </row>
    <row r="673" spans="1:4" x14ac:dyDescent="0.25">
      <c r="A673" t="str">
        <f>T("   681091")</f>
        <v xml:space="preserve">   681091</v>
      </c>
      <c r="B673" t="str">
        <f>T("   ÉLÉMENTS PRÉFABRIQUÉS POUR LE BÂTIMENT OU LE GÉNIE CIVIL, EN CIMENT, EN BÉTON OU EN PIERRE ARTIFICIELLE, MÊME ARMÉS")</f>
        <v xml:space="preserve">   ÉLÉMENTS PRÉFABRIQUÉS POUR LE BÂTIMENT OU LE GÉNIE CIVIL, EN CIMENT, EN BÉTON OU EN PIERRE ARTIFICIELLE, MÊME ARMÉS</v>
      </c>
      <c r="C673">
        <v>532371</v>
      </c>
      <c r="D673">
        <v>490</v>
      </c>
    </row>
    <row r="674" spans="1:4" x14ac:dyDescent="0.25">
      <c r="A674" t="str">
        <f>T("   681190")</f>
        <v xml:space="preserve">   681190</v>
      </c>
      <c r="B674" t="str">
        <f>T("   Ouvrages en amiante-ciment, cellulose-ciment ou simil. (sauf tuyaux, gaines et accessoires de tuyauterie et sauf plaques, y.c. les plaques ondulées, panneaux, carreaux, tuiles et articles simil.)")</f>
        <v xml:space="preserve">   Ouvrages en amiante-ciment, cellulose-ciment ou simil. (sauf tuyaux, gaines et accessoires de tuyauterie et sauf plaques, y.c. les plaques ondulées, panneaux, carreaux, tuiles et articles simil.)</v>
      </c>
      <c r="C674">
        <v>132563</v>
      </c>
      <c r="D674">
        <v>197</v>
      </c>
    </row>
    <row r="675" spans="1:4" x14ac:dyDescent="0.25">
      <c r="A675" t="str">
        <f>T("   681510")</f>
        <v xml:space="preserve">   681510</v>
      </c>
      <c r="B675" t="str">
        <f>T("   OUVRAGES EN GRAPHITE OU EN AUTRE CARBONE, Y.C. LES FIBRES DE CARBONE, POUR USAGES NON ÉLECTRIQUES")</f>
        <v xml:space="preserve">   OUVRAGES EN GRAPHITE OU EN AUTRE CARBONE, Y.C. LES FIBRES DE CARBONE, POUR USAGES NON ÉLECTRIQUES</v>
      </c>
      <c r="C675">
        <v>111514</v>
      </c>
      <c r="D675">
        <v>4</v>
      </c>
    </row>
    <row r="676" spans="1:4" x14ac:dyDescent="0.25">
      <c r="A676" t="str">
        <f>T("   690210")</f>
        <v xml:space="preserve">   690210</v>
      </c>
      <c r="B676" t="str">
        <f>T("   Briques, dalles, carreaux et pièces céramiques de construction analogues, réfractaires, teneur en poids en éléments Mg, Ca ou Cr, pris isolément ou ensemble et exprimés en MgO, CaO ou Cr2O3 &gt; 50%")</f>
        <v xml:space="preserve">   Briques, dalles, carreaux et pièces céramiques de construction analogues, réfractaires, teneur en poids en éléments Mg, Ca ou Cr, pris isolément ou ensemble et exprimés en MgO, CaO ou Cr2O3 &gt; 50%</v>
      </c>
      <c r="C676">
        <v>184349686</v>
      </c>
      <c r="D676">
        <v>248702</v>
      </c>
    </row>
    <row r="677" spans="1:4" x14ac:dyDescent="0.25">
      <c r="A677" t="str">
        <f>T("   690790")</f>
        <v xml:space="preserve">   690790</v>
      </c>
      <c r="B677" t="s">
        <v>306</v>
      </c>
      <c r="C677">
        <v>91654582</v>
      </c>
      <c r="D677">
        <v>907500</v>
      </c>
    </row>
    <row r="678" spans="1:4" x14ac:dyDescent="0.25">
      <c r="A678" t="str">
        <f>T("   690890")</f>
        <v xml:space="preserve">   690890</v>
      </c>
      <c r="B678" t="s">
        <v>307</v>
      </c>
      <c r="C678">
        <v>1519501455</v>
      </c>
      <c r="D678">
        <v>14599652</v>
      </c>
    </row>
    <row r="679" spans="1:4" x14ac:dyDescent="0.25">
      <c r="A679" t="str">
        <f>T("   691010")</f>
        <v xml:space="preserve">   691010</v>
      </c>
      <c r="B679" t="s">
        <v>309</v>
      </c>
      <c r="C679">
        <v>320000</v>
      </c>
      <c r="D679">
        <v>500</v>
      </c>
    </row>
    <row r="680" spans="1:4" x14ac:dyDescent="0.25">
      <c r="A680" t="str">
        <f>T("   691090")</f>
        <v xml:space="preserve">   691090</v>
      </c>
      <c r="B680" t="s">
        <v>310</v>
      </c>
      <c r="C680">
        <v>150000</v>
      </c>
      <c r="D680">
        <v>300</v>
      </c>
    </row>
    <row r="681" spans="1:4" x14ac:dyDescent="0.25">
      <c r="A681" t="str">
        <f>T("   691200")</f>
        <v xml:space="preserve">   691200</v>
      </c>
      <c r="B681" t="s">
        <v>313</v>
      </c>
      <c r="C681">
        <v>2335218</v>
      </c>
      <c r="D681">
        <v>2180</v>
      </c>
    </row>
    <row r="682" spans="1:4" x14ac:dyDescent="0.25">
      <c r="A682" t="str">
        <f>T("   700490")</f>
        <v xml:space="preserve">   700490</v>
      </c>
      <c r="B682"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682">
        <v>5493009</v>
      </c>
      <c r="D682">
        <v>45343</v>
      </c>
    </row>
    <row r="683" spans="1:4" x14ac:dyDescent="0.25">
      <c r="A683" t="str">
        <f>T("   700510")</f>
        <v xml:space="preserve">   700510</v>
      </c>
      <c r="B683"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683">
        <v>5373625</v>
      </c>
      <c r="D683">
        <v>21793</v>
      </c>
    </row>
    <row r="684" spans="1:4" x14ac:dyDescent="0.25">
      <c r="A684" t="str">
        <f>T("   700521")</f>
        <v xml:space="preserve">   700521</v>
      </c>
      <c r="B684" t="s">
        <v>314</v>
      </c>
      <c r="C684">
        <v>14001163</v>
      </c>
      <c r="D684">
        <v>53220</v>
      </c>
    </row>
    <row r="685" spans="1:4" x14ac:dyDescent="0.25">
      <c r="A685" t="str">
        <f>T("   700529")</f>
        <v xml:space="preserve">   700529</v>
      </c>
      <c r="B685" t="s">
        <v>315</v>
      </c>
      <c r="C685">
        <v>30615336</v>
      </c>
      <c r="D685">
        <v>151612</v>
      </c>
    </row>
    <row r="686" spans="1:4" x14ac:dyDescent="0.25">
      <c r="A686" t="str">
        <f>T("   700600")</f>
        <v xml:space="preserve">   700600</v>
      </c>
      <c r="B686" t="s">
        <v>316</v>
      </c>
      <c r="C686">
        <v>8113756</v>
      </c>
      <c r="D686">
        <v>95791</v>
      </c>
    </row>
    <row r="687" spans="1:4" x14ac:dyDescent="0.25">
      <c r="A687" t="str">
        <f>T("   700719")</f>
        <v xml:space="preserve">   700719</v>
      </c>
      <c r="B687" t="s">
        <v>317</v>
      </c>
      <c r="C687">
        <v>561501</v>
      </c>
      <c r="D687">
        <v>30</v>
      </c>
    </row>
    <row r="688" spans="1:4" x14ac:dyDescent="0.25">
      <c r="A688" t="str">
        <f>T("   700721")</f>
        <v xml:space="preserve">   700721</v>
      </c>
      <c r="B688" t="s">
        <v>318</v>
      </c>
      <c r="C688">
        <v>318797</v>
      </c>
      <c r="D688">
        <v>14</v>
      </c>
    </row>
    <row r="689" spans="1:4" x14ac:dyDescent="0.25">
      <c r="A689" t="str">
        <f>T("   700729")</f>
        <v xml:space="preserve">   700729</v>
      </c>
      <c r="B689" t="s">
        <v>319</v>
      </c>
      <c r="C689">
        <v>5622233</v>
      </c>
      <c r="D689">
        <v>2550</v>
      </c>
    </row>
    <row r="690" spans="1:4" x14ac:dyDescent="0.25">
      <c r="A690" t="str">
        <f>T("   700991")</f>
        <v xml:space="preserve">   700991</v>
      </c>
      <c r="B690"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690">
        <v>3233817</v>
      </c>
      <c r="D690">
        <v>10000</v>
      </c>
    </row>
    <row r="691" spans="1:4" x14ac:dyDescent="0.25">
      <c r="A691" t="str">
        <f>T("   700992")</f>
        <v xml:space="preserve">   700992</v>
      </c>
      <c r="B691" t="str">
        <f>T("   Miroirs, en verre encadrés (sauf miroirs rétroviseurs pour véhicules)")</f>
        <v xml:space="preserve">   Miroirs, en verre encadrés (sauf miroirs rétroviseurs pour véhicules)</v>
      </c>
      <c r="C691">
        <v>83307</v>
      </c>
      <c r="D691">
        <v>180</v>
      </c>
    </row>
    <row r="692" spans="1:4" x14ac:dyDescent="0.25">
      <c r="A692" t="str">
        <f>T("   701190")</f>
        <v xml:space="preserve">   701190</v>
      </c>
      <c r="B692"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692">
        <v>300000</v>
      </c>
      <c r="D692">
        <v>1736</v>
      </c>
    </row>
    <row r="693" spans="1:4" x14ac:dyDescent="0.25">
      <c r="A693" t="str">
        <f>T("   701720")</f>
        <v xml:space="preserve">   701720</v>
      </c>
      <c r="B693" t="s">
        <v>330</v>
      </c>
      <c r="C693">
        <v>409975</v>
      </c>
      <c r="D693">
        <v>4</v>
      </c>
    </row>
    <row r="694" spans="1:4" x14ac:dyDescent="0.25">
      <c r="A694" t="str">
        <f>T("   711790")</f>
        <v xml:space="preserve">   711790</v>
      </c>
      <c r="B694" t="str">
        <f>T("   Bijouterie de fantaisie (autre qu'en métaux communs, même argentés, dorés ou platinés)")</f>
        <v xml:space="preserve">   Bijouterie de fantaisie (autre qu'en métaux communs, même argentés, dorés ou platinés)</v>
      </c>
      <c r="C694">
        <v>23661</v>
      </c>
      <c r="D694">
        <v>3</v>
      </c>
    </row>
    <row r="695" spans="1:4" x14ac:dyDescent="0.25">
      <c r="A695" t="str">
        <f>T("   720852")</f>
        <v xml:space="preserve">   720852</v>
      </c>
      <c r="B695" t="str">
        <f>T("   PRODUITS LAMINÉS PLATS, EN FER OU EN ACIER NON-ALLIÉS, D'UNE LARGEUR &gt;= 600 MM, NON-ENROULÉS, SIMPL. LAMINÉS À CHAUD, NON-PLAQUÉS NI REVÊTUS, ÉPAISSEUR &gt;= 4,75 MM MAIS &lt;= 10 MM (SANS MOTIFS EN RELIEF)")</f>
        <v xml:space="preserve">   PRODUITS LAMINÉS PLATS, EN FER OU EN ACIER NON-ALLIÉS, D'UNE LARGEUR &gt;= 600 MM, NON-ENROULÉS, SIMPL. LAMINÉS À CHAUD, NON-PLAQUÉS NI REVÊTUS, ÉPAISSEUR &gt;= 4,75 MM MAIS &lt;= 10 MM (SANS MOTIFS EN RELIEF)</v>
      </c>
      <c r="C695">
        <v>3433584</v>
      </c>
      <c r="D695">
        <v>8336</v>
      </c>
    </row>
    <row r="696" spans="1:4" x14ac:dyDescent="0.25">
      <c r="A696" t="str">
        <f>T("   720916")</f>
        <v xml:space="preserve">   720916</v>
      </c>
      <c r="B696" t="str">
        <f>T("   PRODUITS LAMINÉS PLATS, EN FER OU EN ACIERS NON-ALLIÉS, D'UNE LARGEUR &gt;= 600 MM, NON-PLAQUÉS NI REVÊTUS, ENROULÉS, SIMPL. LAMINÉS À FROID, D'UNE ÉPAISSEUR &gt; 1 MM MAIS &lt; 3 MM")</f>
        <v xml:space="preserve">   PRODUITS LAMINÉS PLATS, EN FER OU EN ACIERS NON-ALLIÉS, D'UNE LARGEUR &gt;= 600 MM, NON-PLAQUÉS NI REVÊTUS, ENROULÉS, SIMPL. LAMINÉS À FROID, D'UNE ÉPAISSEUR &gt; 1 MM MAIS &lt; 3 MM</v>
      </c>
      <c r="C696">
        <v>446450516</v>
      </c>
      <c r="D696">
        <v>986880</v>
      </c>
    </row>
    <row r="697" spans="1:4" x14ac:dyDescent="0.25">
      <c r="A697" t="str">
        <f>T("   721030")</f>
        <v xml:space="preserve">   721030</v>
      </c>
      <c r="B697" t="str">
        <f>T("   Produits laminés plats, en fer ou en aciers non alliés, d'une largeur &gt;= 600 mm, laminés à chaud ou à froid, zingués électrolytiquement")</f>
        <v xml:space="preserve">   Produits laminés plats, en fer ou en aciers non alliés, d'une largeur &gt;= 600 mm, laminés à chaud ou à froid, zingués électrolytiquement</v>
      </c>
      <c r="C697">
        <v>6189566</v>
      </c>
      <c r="D697">
        <v>9177</v>
      </c>
    </row>
    <row r="698" spans="1:4" x14ac:dyDescent="0.25">
      <c r="A698" t="str">
        <f>T("   721049")</f>
        <v xml:space="preserve">   721049</v>
      </c>
      <c r="B698"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698">
        <v>543201792</v>
      </c>
      <c r="D698">
        <v>942425</v>
      </c>
    </row>
    <row r="699" spans="1:4" x14ac:dyDescent="0.25">
      <c r="A699" t="str">
        <f>T("   721391")</f>
        <v xml:space="preserve">   721391</v>
      </c>
      <c r="B699"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699">
        <v>8521201310</v>
      </c>
      <c r="D699">
        <v>22748008</v>
      </c>
    </row>
    <row r="700" spans="1:4" x14ac:dyDescent="0.25">
      <c r="A700" t="str">
        <f>T("   721420")</f>
        <v xml:space="preserve">   721420</v>
      </c>
      <c r="B700"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700">
        <v>644508578</v>
      </c>
      <c r="D700">
        <v>1711045.87</v>
      </c>
    </row>
    <row r="701" spans="1:4" x14ac:dyDescent="0.25">
      <c r="A701" t="str">
        <f>T("   721499")</f>
        <v xml:space="preserve">   721499</v>
      </c>
      <c r="B701" t="s">
        <v>340</v>
      </c>
      <c r="C701">
        <v>205663800</v>
      </c>
      <c r="D701">
        <v>600000</v>
      </c>
    </row>
    <row r="702" spans="1:4" x14ac:dyDescent="0.25">
      <c r="A702" t="str">
        <f>T("   721510")</f>
        <v xml:space="preserve">   721510</v>
      </c>
      <c r="B702" t="str">
        <f>T("   Barres en aciers de décolletage non alliés, simplement obtenues ou parachevées à froid")</f>
        <v xml:space="preserve">   Barres en aciers de décolletage non alliés, simplement obtenues ou parachevées à froid</v>
      </c>
      <c r="C702">
        <v>1208921</v>
      </c>
      <c r="D702">
        <v>3070</v>
      </c>
    </row>
    <row r="703" spans="1:4" x14ac:dyDescent="0.25">
      <c r="A703" t="str">
        <f>T("   721632")</f>
        <v xml:space="preserve">   721632</v>
      </c>
      <c r="B703" t="str">
        <f>T("   PROFILÉS EN I, EN FER OU EN ACIERS NON-ALLIÉS, SIMPL. LAMINÉS OU FILÉS À CHAUD, D'UNE HAUTEUR &gt;= 80 MM")</f>
        <v xml:space="preserve">   PROFILÉS EN I, EN FER OU EN ACIERS NON-ALLIÉS, SIMPL. LAMINÉS OU FILÉS À CHAUD, D'UNE HAUTEUR &gt;= 80 MM</v>
      </c>
      <c r="C703">
        <v>54163194</v>
      </c>
      <c r="D703">
        <v>148200</v>
      </c>
    </row>
    <row r="704" spans="1:4" x14ac:dyDescent="0.25">
      <c r="A704" t="str">
        <f>T("   721790")</f>
        <v xml:space="preserve">   721790</v>
      </c>
      <c r="B704"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704">
        <v>3029814</v>
      </c>
      <c r="D704">
        <v>1716</v>
      </c>
    </row>
    <row r="705" spans="1:4" x14ac:dyDescent="0.25">
      <c r="A705" t="str">
        <f>T("   730290")</f>
        <v xml:space="preserve">   730290</v>
      </c>
      <c r="B705" t="s">
        <v>342</v>
      </c>
      <c r="C705">
        <v>47591208</v>
      </c>
      <c r="D705">
        <v>67997</v>
      </c>
    </row>
    <row r="706" spans="1:4" x14ac:dyDescent="0.25">
      <c r="A706" t="str">
        <f>T("   730690")</f>
        <v xml:space="preserve">   730690</v>
      </c>
      <c r="B706"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706">
        <v>20241282</v>
      </c>
      <c r="D706">
        <v>52000</v>
      </c>
    </row>
    <row r="707" spans="1:4" x14ac:dyDescent="0.25">
      <c r="A707" t="str">
        <f>T("   730711")</f>
        <v xml:space="preserve">   730711</v>
      </c>
      <c r="B707" t="str">
        <f>T("   ACCESSOIRES DE TUYAUTERIE MOULÉS EN FONTE NON-MALLÉABLE")</f>
        <v xml:space="preserve">   ACCESSOIRES DE TUYAUTERIE MOULÉS EN FONTE NON-MALLÉABLE</v>
      </c>
      <c r="C707">
        <v>29667614</v>
      </c>
      <c r="D707">
        <v>4600</v>
      </c>
    </row>
    <row r="708" spans="1:4" x14ac:dyDescent="0.25">
      <c r="A708" t="str">
        <f>T("   730719")</f>
        <v xml:space="preserve">   730719</v>
      </c>
      <c r="B708" t="str">
        <f>T("   Accessoires de tuyauterie moulés en fonte, fer ou acier (sauf fonte non-malléable)")</f>
        <v xml:space="preserve">   Accessoires de tuyauterie moulés en fonte, fer ou acier (sauf fonte non-malléable)</v>
      </c>
      <c r="C708">
        <v>30855702</v>
      </c>
      <c r="D708">
        <v>3500</v>
      </c>
    </row>
    <row r="709" spans="1:4" x14ac:dyDescent="0.25">
      <c r="A709" t="str">
        <f>T("   730729")</f>
        <v xml:space="preserve">   730729</v>
      </c>
      <c r="B709" t="str">
        <f>T("   ACCESSOIRES DE TUYAUTERIE, EN ACIERS INOXYDABLES (NON-MOULÉS ET SAUF BRIDES; COUDES, COURBES ET MANCHONS FILETÉS; ACCESSOIRES À SOUDER BOUT À BOUT)")</f>
        <v xml:space="preserve">   ACCESSOIRES DE TUYAUTERIE, EN ACIERS INOXYDABLES (NON-MOULÉS ET SAUF BRIDES; COUDES, COURBES ET MANCHONS FILETÉS; ACCESSOIRES À SOUDER BOUT À BOUT)</v>
      </c>
      <c r="C709">
        <v>756853</v>
      </c>
      <c r="D709">
        <v>100</v>
      </c>
    </row>
    <row r="710" spans="1:4" x14ac:dyDescent="0.25">
      <c r="A710" t="str">
        <f>T("   730792")</f>
        <v xml:space="preserve">   730792</v>
      </c>
      <c r="B710" t="str">
        <f>T("   Coudes, courbes et manchons en fer ou en aciers, filetés (autres que moulés ou en aciers inoxydables)")</f>
        <v xml:space="preserve">   Coudes, courbes et manchons en fer ou en aciers, filetés (autres que moulés ou en aciers inoxydables)</v>
      </c>
      <c r="C710">
        <v>264352</v>
      </c>
      <c r="D710">
        <v>19</v>
      </c>
    </row>
    <row r="711" spans="1:4" x14ac:dyDescent="0.25">
      <c r="A711" t="str">
        <f>T("   730799")</f>
        <v xml:space="preserve">   730799</v>
      </c>
      <c r="B711"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711">
        <v>682854</v>
      </c>
      <c r="D711">
        <v>18</v>
      </c>
    </row>
    <row r="712" spans="1:4" x14ac:dyDescent="0.25">
      <c r="A712" t="str">
        <f>T("   730890")</f>
        <v xml:space="preserve">   730890</v>
      </c>
      <c r="B712" t="s">
        <v>349</v>
      </c>
      <c r="C712">
        <v>51220985</v>
      </c>
      <c r="D712">
        <v>27891</v>
      </c>
    </row>
    <row r="713" spans="1:4" x14ac:dyDescent="0.25">
      <c r="A713" t="str">
        <f>T("   731210")</f>
        <v xml:space="preserve">   731210</v>
      </c>
      <c r="B713"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713">
        <v>102329</v>
      </c>
      <c r="D713">
        <v>1</v>
      </c>
    </row>
    <row r="714" spans="1:4" x14ac:dyDescent="0.25">
      <c r="A714" t="str">
        <f>T("   731290")</f>
        <v xml:space="preserve">   731290</v>
      </c>
      <c r="B714" t="str">
        <f>T("   Tresses, élingues et simil., en fer ou en acier (sauf produits isolés pour l'électricité)")</f>
        <v xml:space="preserve">   Tresses, élingues et simil., en fer ou en acier (sauf produits isolés pour l'électricité)</v>
      </c>
      <c r="C714">
        <v>5700292</v>
      </c>
      <c r="D714">
        <v>472</v>
      </c>
    </row>
    <row r="715" spans="1:4" x14ac:dyDescent="0.25">
      <c r="A715" t="str">
        <f>T("   731414")</f>
        <v xml:space="preserve">   731414</v>
      </c>
      <c r="B715" t="s">
        <v>351</v>
      </c>
      <c r="C715">
        <v>3715659</v>
      </c>
      <c r="D715">
        <v>186</v>
      </c>
    </row>
    <row r="716" spans="1:4" x14ac:dyDescent="0.25">
      <c r="A716" t="str">
        <f>T("   731420")</f>
        <v xml:space="preserve">   731420</v>
      </c>
      <c r="B716" t="str">
        <f>T("   Grillages et treillis, soudés aux points de rencontre, d'une surface de mailles &gt;= 100 cm², en fils de fer ou d'acier, dont la plus grande dimension de la coupe transversale est &gt;= 3 mm")</f>
        <v xml:space="preserve">   Grillages et treillis, soudés aux points de rencontre, d'une surface de mailles &gt;= 100 cm², en fils de fer ou d'acier, dont la plus grande dimension de la coupe transversale est &gt;= 3 mm</v>
      </c>
      <c r="C716">
        <v>3474620</v>
      </c>
      <c r="D716">
        <v>1532</v>
      </c>
    </row>
    <row r="717" spans="1:4" x14ac:dyDescent="0.25">
      <c r="A717" t="str">
        <f>T("   731589")</f>
        <v xml:space="preserve">   731589</v>
      </c>
      <c r="B717" t="s">
        <v>353</v>
      </c>
      <c r="C717">
        <v>8663599</v>
      </c>
      <c r="D717">
        <v>3296</v>
      </c>
    </row>
    <row r="718" spans="1:4" x14ac:dyDescent="0.25">
      <c r="A718" t="str">
        <f>T("   731600")</f>
        <v xml:space="preserve">   731600</v>
      </c>
      <c r="B718" t="str">
        <f>T("   Ancres, grappins et leurs parties, en fonte, fer ou acier")</f>
        <v xml:space="preserve">   Ancres, grappins et leurs parties, en fonte, fer ou acier</v>
      </c>
      <c r="C718">
        <v>56401409</v>
      </c>
      <c r="D718">
        <v>1170</v>
      </c>
    </row>
    <row r="719" spans="1:4" x14ac:dyDescent="0.25">
      <c r="A719" t="str">
        <f>T("   731815")</f>
        <v xml:space="preserve">   731815</v>
      </c>
      <c r="B719" t="s">
        <v>354</v>
      </c>
      <c r="C719">
        <v>35943316</v>
      </c>
      <c r="D719">
        <v>14832.6</v>
      </c>
    </row>
    <row r="720" spans="1:4" x14ac:dyDescent="0.25">
      <c r="A720" t="str">
        <f>T("   731816")</f>
        <v xml:space="preserve">   731816</v>
      </c>
      <c r="B720" t="str">
        <f>T("   ÉCROUS EN FONTE, FER OU ACIER")</f>
        <v xml:space="preserve">   ÉCROUS EN FONTE, FER OU ACIER</v>
      </c>
      <c r="C720">
        <v>3213816</v>
      </c>
      <c r="D720">
        <v>135</v>
      </c>
    </row>
    <row r="721" spans="1:4" x14ac:dyDescent="0.25">
      <c r="A721" t="str">
        <f>T("   731819")</f>
        <v xml:space="preserve">   731819</v>
      </c>
      <c r="B721" t="str">
        <f>T("   Articles de boulonnerie et de visserie, filetés, en fonte, fer ou acier, n.d.a.")</f>
        <v xml:space="preserve">   Articles de boulonnerie et de visserie, filetés, en fonte, fer ou acier, n.d.a.</v>
      </c>
      <c r="C721">
        <v>5401820</v>
      </c>
      <c r="D721">
        <v>400</v>
      </c>
    </row>
    <row r="722" spans="1:4" x14ac:dyDescent="0.25">
      <c r="A722" t="str">
        <f>T("   731822")</f>
        <v xml:space="preserve">   731822</v>
      </c>
      <c r="B722" t="str">
        <f>T("   Rondelles en fonte, fer ou acier (sauf rondelles destinées à faire ressort et autres rondelles de blocage)")</f>
        <v xml:space="preserve">   Rondelles en fonte, fer ou acier (sauf rondelles destinées à faire ressort et autres rondelles de blocage)</v>
      </c>
      <c r="C722">
        <v>5764357</v>
      </c>
      <c r="D722">
        <v>358</v>
      </c>
    </row>
    <row r="723" spans="1:4" x14ac:dyDescent="0.25">
      <c r="A723" t="str">
        <f>T("   731824")</f>
        <v xml:space="preserve">   731824</v>
      </c>
      <c r="B723" t="str">
        <f>T("   Goupilles, chevilles et clavettes en fonte, fer ou acier")</f>
        <v xml:space="preserve">   Goupilles, chevilles et clavettes en fonte, fer ou acier</v>
      </c>
      <c r="C723">
        <v>10707147</v>
      </c>
      <c r="D723">
        <v>345</v>
      </c>
    </row>
    <row r="724" spans="1:4" x14ac:dyDescent="0.25">
      <c r="A724" t="str">
        <f>T("   731829")</f>
        <v xml:space="preserve">   731829</v>
      </c>
      <c r="B724" t="str">
        <f>T("   Articles de boulonnerie et de visserie non filetés, en fonte, fer ou acier, n.d.a.")</f>
        <v xml:space="preserve">   Articles de boulonnerie et de visserie non filetés, en fonte, fer ou acier, n.d.a.</v>
      </c>
      <c r="C724">
        <v>3762258</v>
      </c>
      <c r="D724">
        <v>242.4</v>
      </c>
    </row>
    <row r="725" spans="1:4" x14ac:dyDescent="0.25">
      <c r="A725" t="str">
        <f>T("   732020")</f>
        <v xml:space="preserve">   732020</v>
      </c>
      <c r="B725" t="str">
        <f>T("   RESSORTS EN HÉLICE EN FER OU EN ACIER (À L'EXCL. DES RESSORTS SPIRAUX PLATS, RESSORTS DE MONTRES, RESSORTS POUR CANNES ET MANCHES DE PARAPLUIES ET DE PARASOLS ET SAUF RESSORTS-AMORTISSEURS DE LA SECTION 17)")</f>
        <v xml:space="preserve">   RESSORTS EN HÉLICE EN FER OU EN ACIER (À L'EXCL. DES RESSORTS SPIRAUX PLATS, RESSORTS DE MONTRES, RESSORTS POUR CANNES ET MANCHES DE PARAPLUIES ET DE PARASOLS ET SAUF RESSORTS-AMORTISSEURS DE LA SECTION 17)</v>
      </c>
      <c r="C725">
        <v>232866</v>
      </c>
      <c r="D725">
        <v>9</v>
      </c>
    </row>
    <row r="726" spans="1:4" x14ac:dyDescent="0.25">
      <c r="A726" t="str">
        <f>T("   732090")</f>
        <v xml:space="preserve">   732090</v>
      </c>
      <c r="B726" t="s">
        <v>355</v>
      </c>
      <c r="C726">
        <v>4742590</v>
      </c>
      <c r="D726">
        <v>208</v>
      </c>
    </row>
    <row r="727" spans="1:4" x14ac:dyDescent="0.25">
      <c r="A727" t="str">
        <f>T("   732112")</f>
        <v xml:space="preserve">   732112</v>
      </c>
      <c r="B727" t="s">
        <v>357</v>
      </c>
      <c r="C727">
        <v>1000000</v>
      </c>
      <c r="D727">
        <v>150</v>
      </c>
    </row>
    <row r="728" spans="1:4" x14ac:dyDescent="0.25">
      <c r="A728" t="str">
        <f>T("   732394")</f>
        <v xml:space="preserve">   732394</v>
      </c>
      <c r="B728" t="s">
        <v>362</v>
      </c>
      <c r="C728">
        <v>4962863</v>
      </c>
      <c r="D728">
        <v>19668</v>
      </c>
    </row>
    <row r="729" spans="1:4" x14ac:dyDescent="0.25">
      <c r="A729" t="str">
        <f>T("   732399")</f>
        <v xml:space="preserve">   732399</v>
      </c>
      <c r="B729" t="s">
        <v>363</v>
      </c>
      <c r="C729">
        <v>13069963</v>
      </c>
      <c r="D729">
        <v>12930</v>
      </c>
    </row>
    <row r="730" spans="1:4" x14ac:dyDescent="0.25">
      <c r="A730" t="str">
        <f>T("   732620")</f>
        <v xml:space="preserve">   732620</v>
      </c>
      <c r="B730" t="str">
        <f>T("   Ouvrages en fil de fer ou d'acier, n.d.a.")</f>
        <v xml:space="preserve">   Ouvrages en fil de fer ou d'acier, n.d.a.</v>
      </c>
      <c r="C730">
        <v>550000</v>
      </c>
      <c r="D730">
        <v>600</v>
      </c>
    </row>
    <row r="731" spans="1:4" x14ac:dyDescent="0.25">
      <c r="A731" t="str">
        <f>T("   732690")</f>
        <v xml:space="preserve">   732690</v>
      </c>
      <c r="B731"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31">
        <v>58385653</v>
      </c>
      <c r="D731">
        <v>6631</v>
      </c>
    </row>
    <row r="732" spans="1:4" x14ac:dyDescent="0.25">
      <c r="A732" t="str">
        <f>T("   740620")</f>
        <v xml:space="preserve">   740620</v>
      </c>
      <c r="B732" t="str">
        <f>T("   Poudres de cuivre à structure lamellaire; paillettes de cuivre (sauf granulés -grenailles- de cuivre et sauf paillettes découpées du n° 8308)")</f>
        <v xml:space="preserve">   Poudres de cuivre à structure lamellaire; paillettes de cuivre (sauf granulés -grenailles- de cuivre et sauf paillettes découpées du n° 8308)</v>
      </c>
      <c r="C732">
        <v>3860981</v>
      </c>
      <c r="D732">
        <v>200</v>
      </c>
    </row>
    <row r="733" spans="1:4" x14ac:dyDescent="0.25">
      <c r="A733" t="str">
        <f>T("   741999")</f>
        <v xml:space="preserve">   741999</v>
      </c>
      <c r="B733" t="str">
        <f>T("   Ouvrages en cuivre, n.d.a.")</f>
        <v xml:space="preserve">   Ouvrages en cuivre, n.d.a.</v>
      </c>
      <c r="C733">
        <v>736643</v>
      </c>
      <c r="D733">
        <v>217</v>
      </c>
    </row>
    <row r="734" spans="1:4" x14ac:dyDescent="0.25">
      <c r="A734" t="str">
        <f>T("   761090")</f>
        <v xml:space="preserve">   761090</v>
      </c>
      <c r="B734"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734">
        <v>4113328</v>
      </c>
      <c r="D734">
        <v>2676</v>
      </c>
    </row>
    <row r="735" spans="1:4" x14ac:dyDescent="0.25">
      <c r="A735" t="str">
        <f>T("   761519")</f>
        <v xml:space="preserve">   761519</v>
      </c>
      <c r="B735" t="s">
        <v>373</v>
      </c>
      <c r="C735">
        <v>70000</v>
      </c>
      <c r="D735">
        <v>150</v>
      </c>
    </row>
    <row r="736" spans="1:4" x14ac:dyDescent="0.25">
      <c r="A736" t="str">
        <f>T("   790500")</f>
        <v xml:space="preserve">   790500</v>
      </c>
      <c r="B736" t="str">
        <f>T("   TOLES, BANDES ET FEUILLES EN ZINC")</f>
        <v xml:space="preserve">   TOLES, BANDES ET FEUILLES EN ZINC</v>
      </c>
      <c r="C736">
        <v>1863582</v>
      </c>
      <c r="D736">
        <v>404</v>
      </c>
    </row>
    <row r="737" spans="1:4" x14ac:dyDescent="0.25">
      <c r="A737" t="str">
        <f>T("   820320")</f>
        <v xml:space="preserve">   820320</v>
      </c>
      <c r="B737" t="str">
        <f>T("   PINCES -MÊME COUPANTES-, TENAILLES, BRUCELLES À USAGE NON-MÉDICAL ET OUTILS SIMIL. À MAIN, EN MÉTAUX COMMUNS")</f>
        <v xml:space="preserve">   PINCES -MÊME COUPANTES-, TENAILLES, BRUCELLES À USAGE NON-MÉDICAL ET OUTILS SIMIL. À MAIN, EN MÉTAUX COMMUNS</v>
      </c>
      <c r="C737">
        <v>757300</v>
      </c>
      <c r="D737">
        <v>69</v>
      </c>
    </row>
    <row r="738" spans="1:4" x14ac:dyDescent="0.25">
      <c r="A738" t="str">
        <f>T("   820412")</f>
        <v xml:space="preserve">   820412</v>
      </c>
      <c r="B738" t="str">
        <f>T("   Clés de serrage à main, y.c. -les clés dynamométriques-, en métaux communs, à ouverture variable")</f>
        <v xml:space="preserve">   Clés de serrage à main, y.c. -les clés dynamométriques-, en métaux communs, à ouverture variable</v>
      </c>
      <c r="C738">
        <v>1790305</v>
      </c>
      <c r="D738">
        <v>54</v>
      </c>
    </row>
    <row r="739" spans="1:4" x14ac:dyDescent="0.25">
      <c r="A739" t="str">
        <f>T("   820420")</f>
        <v xml:space="preserve">   820420</v>
      </c>
      <c r="B739" t="str">
        <f>T("   Douilles de serrage interchangeables, même avec manches, en métaux communs")</f>
        <v xml:space="preserve">   Douilles de serrage interchangeables, même avec manches, en métaux communs</v>
      </c>
      <c r="C739">
        <v>523031</v>
      </c>
      <c r="D739">
        <v>13</v>
      </c>
    </row>
    <row r="740" spans="1:4" x14ac:dyDescent="0.25">
      <c r="A740" t="str">
        <f>T("   820520")</f>
        <v xml:space="preserve">   820520</v>
      </c>
      <c r="B740" t="str">
        <f>T("   Marteaux et masses, avec partie travaillante en métaux communs")</f>
        <v xml:space="preserve">   Marteaux et masses, avec partie travaillante en métaux communs</v>
      </c>
      <c r="C740">
        <v>81989</v>
      </c>
      <c r="D740">
        <v>24</v>
      </c>
    </row>
    <row r="741" spans="1:4" x14ac:dyDescent="0.25">
      <c r="A741" t="str">
        <f>T("   820540")</f>
        <v xml:space="preserve">   820540</v>
      </c>
      <c r="B741" t="str">
        <f>T("   Tournevis à main")</f>
        <v xml:space="preserve">   Tournevis à main</v>
      </c>
      <c r="C741">
        <v>49853</v>
      </c>
      <c r="D741">
        <v>28</v>
      </c>
    </row>
    <row r="742" spans="1:4" x14ac:dyDescent="0.25">
      <c r="A742" t="str">
        <f>T("   820559")</f>
        <v xml:space="preserve">   820559</v>
      </c>
      <c r="B742" t="str">
        <f>T("   Outils à main, y.c. -les diamants de vitrier-, en métaux communs, n.d.a.")</f>
        <v xml:space="preserve">   Outils à main, y.c. -les diamants de vitrier-, en métaux communs, n.d.a.</v>
      </c>
      <c r="C742">
        <v>7727918</v>
      </c>
      <c r="D742">
        <v>1638</v>
      </c>
    </row>
    <row r="743" spans="1:4" x14ac:dyDescent="0.25">
      <c r="A743" t="str">
        <f>T("   820570")</f>
        <v xml:space="preserve">   820570</v>
      </c>
      <c r="B743" t="str">
        <f>T("   Etaux, serre-joints et simil. (autres que ceux constituant des accessoires ou des parties de machines-outils)")</f>
        <v xml:space="preserve">   Etaux, serre-joints et simil. (autres que ceux constituant des accessoires ou des parties de machines-outils)</v>
      </c>
      <c r="C743">
        <v>71499</v>
      </c>
      <c r="D743">
        <v>2</v>
      </c>
    </row>
    <row r="744" spans="1:4" x14ac:dyDescent="0.25">
      <c r="A744" t="str">
        <f>T("   820600")</f>
        <v xml:space="preserve">   820600</v>
      </c>
      <c r="B744" t="str">
        <f>T("   Outils d'au moins deux du n° 8202 à 8205, conditionnés en assortiments pour la vente au détail")</f>
        <v xml:space="preserve">   Outils d'au moins deux du n° 8202 à 8205, conditionnés en assortiments pour la vente au détail</v>
      </c>
      <c r="C744">
        <v>253207</v>
      </c>
      <c r="D744">
        <v>8</v>
      </c>
    </row>
    <row r="745" spans="1:4" x14ac:dyDescent="0.25">
      <c r="A745" t="str">
        <f>T("   820750")</f>
        <v xml:space="preserve">   820750</v>
      </c>
      <c r="B745" t="str">
        <f>T("   OUTILS INTERCHANGEABLES À PERCER (À L'EXCL. DES OUTILS DE FORAGE OU DE SONDAGE ET DES OUTILS À TARAUDER) [01/01/1988-31/12/1993: OUTILS INTERCHANGEABLES (SAUF OUTILS DE FORAGE OU DE SONDAGE ET SAUF OUTILS A TARAUDER OU A FILETER)]")</f>
        <v xml:space="preserve">   OUTILS INTERCHANGEABLES À PERCER (À L'EXCL. DES OUTILS DE FORAGE OU DE SONDAGE ET DES OUTILS À TARAUDER) [01/01/1988-31/12/1993: OUTILS INTERCHANGEABLES (SAUF OUTILS DE FORAGE OU DE SONDAGE ET SAUF OUTILS A TARAUDER OU A FILETER)]</v>
      </c>
      <c r="C745">
        <v>235726</v>
      </c>
      <c r="D745">
        <v>7</v>
      </c>
    </row>
    <row r="746" spans="1:4" x14ac:dyDescent="0.25">
      <c r="A746" t="str">
        <f>T("   820790")</f>
        <v xml:space="preserve">   820790</v>
      </c>
      <c r="B746" t="str">
        <f>T("   Outils interchangeables pour outillage à main, mécanique ou non, ou pour machines-outils, n.d.a.")</f>
        <v xml:space="preserve">   Outils interchangeables pour outillage à main, mécanique ou non, ou pour machines-outils, n.d.a.</v>
      </c>
      <c r="C746">
        <v>1533048</v>
      </c>
      <c r="D746">
        <v>5065</v>
      </c>
    </row>
    <row r="747" spans="1:4" x14ac:dyDescent="0.25">
      <c r="A747" t="str">
        <f>T("   821192")</f>
        <v xml:space="preserve">   821192</v>
      </c>
      <c r="B747" t="s">
        <v>379</v>
      </c>
      <c r="C747">
        <v>83237</v>
      </c>
      <c r="D747">
        <v>36</v>
      </c>
    </row>
    <row r="748" spans="1:4" x14ac:dyDescent="0.25">
      <c r="A748" t="str">
        <f>T("   830170")</f>
        <v xml:space="preserve">   830170</v>
      </c>
      <c r="B748" t="str">
        <f>T("   Clefs présentées isolément, pour cadenas, serrures et verrous, ainsi que pour fermoirs et montures-fermoirs avec serrure, en métaux communs")</f>
        <v xml:space="preserve">   Clefs présentées isolément, pour cadenas, serrures et verrous, ainsi que pour fermoirs et montures-fermoirs avec serrure, en métaux communs</v>
      </c>
      <c r="C748">
        <v>144311</v>
      </c>
      <c r="D748">
        <v>4</v>
      </c>
    </row>
    <row r="749" spans="1:4" x14ac:dyDescent="0.25">
      <c r="A749" t="str">
        <f>T("   840690")</f>
        <v xml:space="preserve">   840690</v>
      </c>
      <c r="B749" t="str">
        <f>T("   Parties des turbines à vapeur, n.d.a.")</f>
        <v xml:space="preserve">   Parties des turbines à vapeur, n.d.a.</v>
      </c>
      <c r="C749">
        <v>1021330</v>
      </c>
      <c r="D749">
        <v>2</v>
      </c>
    </row>
    <row r="750" spans="1:4" x14ac:dyDescent="0.25">
      <c r="A750" t="str">
        <f>T("   840790")</f>
        <v xml:space="preserve">   840790</v>
      </c>
      <c r="B750" t="s">
        <v>391</v>
      </c>
      <c r="C750">
        <v>6231328</v>
      </c>
      <c r="D750">
        <v>21686</v>
      </c>
    </row>
    <row r="751" spans="1:4" x14ac:dyDescent="0.25">
      <c r="A751" t="str">
        <f>T("   840820")</f>
        <v xml:space="preserve">   840820</v>
      </c>
      <c r="B751" t="s">
        <v>393</v>
      </c>
      <c r="C751">
        <v>450000</v>
      </c>
      <c r="D751">
        <v>240</v>
      </c>
    </row>
    <row r="752" spans="1:4" x14ac:dyDescent="0.25">
      <c r="A752" t="str">
        <f>T("   840890")</f>
        <v xml:space="preserve">   840890</v>
      </c>
      <c r="B752" t="s">
        <v>394</v>
      </c>
      <c r="C752">
        <v>5759985</v>
      </c>
      <c r="D752">
        <v>3515</v>
      </c>
    </row>
    <row r="753" spans="1:4" x14ac:dyDescent="0.25">
      <c r="A753" t="str">
        <f>T("   840991")</f>
        <v xml:space="preserve">   840991</v>
      </c>
      <c r="B753"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753">
        <v>1975096</v>
      </c>
      <c r="D753">
        <v>1</v>
      </c>
    </row>
    <row r="754" spans="1:4" x14ac:dyDescent="0.25">
      <c r="A754" t="str">
        <f>T("   840999")</f>
        <v xml:space="preserve">   840999</v>
      </c>
      <c r="B754"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754">
        <v>5409002</v>
      </c>
      <c r="D754">
        <v>285.60000000000002</v>
      </c>
    </row>
    <row r="755" spans="1:4" x14ac:dyDescent="0.25">
      <c r="A755" t="str">
        <f>T("   841221")</f>
        <v xml:space="preserve">   841221</v>
      </c>
      <c r="B755" t="str">
        <f>T("   Moteurs hydrauliques à mouvement rectiligne -cylindres-")</f>
        <v xml:space="preserve">   Moteurs hydrauliques à mouvement rectiligne -cylindres-</v>
      </c>
      <c r="C755">
        <v>865211</v>
      </c>
      <c r="D755">
        <v>30</v>
      </c>
    </row>
    <row r="756" spans="1:4" x14ac:dyDescent="0.25">
      <c r="A756" t="str">
        <f>T("   841319")</f>
        <v xml:space="preserve">   841319</v>
      </c>
      <c r="B756"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756">
        <v>457301399</v>
      </c>
      <c r="D756">
        <v>998164</v>
      </c>
    </row>
    <row r="757" spans="1:4" x14ac:dyDescent="0.25">
      <c r="A757" t="str">
        <f>T("   841330")</f>
        <v xml:space="preserve">   841330</v>
      </c>
      <c r="B757"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757">
        <v>14227116</v>
      </c>
      <c r="D757">
        <v>511</v>
      </c>
    </row>
    <row r="758" spans="1:4" x14ac:dyDescent="0.25">
      <c r="A758" t="str">
        <f>T("   841360")</f>
        <v xml:space="preserve">   841360</v>
      </c>
      <c r="B758" t="s">
        <v>396</v>
      </c>
      <c r="C758">
        <v>1178760</v>
      </c>
      <c r="D758">
        <v>22</v>
      </c>
    </row>
    <row r="759" spans="1:4" x14ac:dyDescent="0.25">
      <c r="A759" t="str">
        <f>T("   841370")</f>
        <v xml:space="preserve">   841370</v>
      </c>
      <c r="B759" t="s">
        <v>397</v>
      </c>
      <c r="C759">
        <v>115016</v>
      </c>
      <c r="D759">
        <v>360</v>
      </c>
    </row>
    <row r="760" spans="1:4" x14ac:dyDescent="0.25">
      <c r="A760" t="str">
        <f>T("   841381")</f>
        <v xml:space="preserve">   841381</v>
      </c>
      <c r="B760" t="s">
        <v>398</v>
      </c>
      <c r="C760">
        <v>96636392</v>
      </c>
      <c r="D760">
        <v>6289</v>
      </c>
    </row>
    <row r="761" spans="1:4" x14ac:dyDescent="0.25">
      <c r="A761" t="str">
        <f>T("   841391")</f>
        <v xml:space="preserve">   841391</v>
      </c>
      <c r="B761" t="str">
        <f>T("   Parties de pompes pour liquides, n.d.a.")</f>
        <v xml:space="preserve">   Parties de pompes pour liquides, n.d.a.</v>
      </c>
      <c r="C761">
        <v>1337502</v>
      </c>
      <c r="D761">
        <v>2</v>
      </c>
    </row>
    <row r="762" spans="1:4" x14ac:dyDescent="0.25">
      <c r="A762" t="str">
        <f>T("   841420")</f>
        <v xml:space="preserve">   841420</v>
      </c>
      <c r="B762" t="str">
        <f>T("   Pompes à air, à main ou à pied")</f>
        <v xml:space="preserve">   Pompes à air, à main ou à pied</v>
      </c>
      <c r="C762">
        <v>1174308</v>
      </c>
      <c r="D762">
        <v>80</v>
      </c>
    </row>
    <row r="763" spans="1:4" x14ac:dyDescent="0.25">
      <c r="A763" t="str">
        <f>T("   841430")</f>
        <v xml:space="preserve">   841430</v>
      </c>
      <c r="B763" t="str">
        <f>T("   Compresseurs des types utilisés pour équipements frigorifiques")</f>
        <v xml:space="preserve">   Compresseurs des types utilisés pour équipements frigorifiques</v>
      </c>
      <c r="C763">
        <v>1000339</v>
      </c>
      <c r="D763">
        <v>4520</v>
      </c>
    </row>
    <row r="764" spans="1:4" x14ac:dyDescent="0.25">
      <c r="A764" t="str">
        <f>T("   841440")</f>
        <v xml:space="preserve">   841440</v>
      </c>
      <c r="B764" t="str">
        <f>T("   Compresseurs d'air montés sur châssis à roues et remorquables")</f>
        <v xml:space="preserve">   Compresseurs d'air montés sur châssis à roues et remorquables</v>
      </c>
      <c r="C764">
        <v>6550188</v>
      </c>
      <c r="D764">
        <v>965</v>
      </c>
    </row>
    <row r="765" spans="1:4" x14ac:dyDescent="0.25">
      <c r="A765" t="str">
        <f>T("   841459")</f>
        <v xml:space="preserve">   841459</v>
      </c>
      <c r="B765"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765">
        <v>628410</v>
      </c>
      <c r="D765">
        <v>45</v>
      </c>
    </row>
    <row r="766" spans="1:4" x14ac:dyDescent="0.25">
      <c r="A766" t="str">
        <f>T("   841480")</f>
        <v xml:space="preserve">   841480</v>
      </c>
      <c r="B766" t="s">
        <v>399</v>
      </c>
      <c r="C766">
        <v>12055986</v>
      </c>
      <c r="D766">
        <v>303</v>
      </c>
    </row>
    <row r="767" spans="1:4" x14ac:dyDescent="0.25">
      <c r="A767" t="str">
        <f>T("   841490")</f>
        <v xml:space="preserve">   841490</v>
      </c>
      <c r="B767"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767">
        <v>15262186</v>
      </c>
      <c r="D767">
        <v>419.45</v>
      </c>
    </row>
    <row r="768" spans="1:4" x14ac:dyDescent="0.25">
      <c r="A768" t="str">
        <f>T("   841510")</f>
        <v xml:space="preserve">   841510</v>
      </c>
      <c r="B768" t="s">
        <v>400</v>
      </c>
      <c r="C768">
        <v>295215</v>
      </c>
      <c r="D768">
        <v>1090</v>
      </c>
    </row>
    <row r="769" spans="1:4" x14ac:dyDescent="0.25">
      <c r="A769" t="str">
        <f>T("   841810")</f>
        <v xml:space="preserve">   841810</v>
      </c>
      <c r="B769" t="str">
        <f>T("   Réfrigérateurs et congélateurs-conservateurs combinés, avec portes extérieures séparées")</f>
        <v xml:space="preserve">   Réfrigérateurs et congélateurs-conservateurs combinés, avec portes extérieures séparées</v>
      </c>
      <c r="C769">
        <v>1726248</v>
      </c>
      <c r="D769">
        <v>1700</v>
      </c>
    </row>
    <row r="770" spans="1:4" x14ac:dyDescent="0.25">
      <c r="A770" t="str">
        <f>T("   841821")</f>
        <v xml:space="preserve">   841821</v>
      </c>
      <c r="B770" t="str">
        <f>T("   Réfrigérateurs ménagers à compression")</f>
        <v xml:space="preserve">   Réfrigérateurs ménagers à compression</v>
      </c>
      <c r="C770">
        <v>1251406</v>
      </c>
      <c r="D770">
        <v>2600</v>
      </c>
    </row>
    <row r="771" spans="1:4" x14ac:dyDescent="0.25">
      <c r="A771" t="str">
        <f>T("   841829")</f>
        <v xml:space="preserve">   841829</v>
      </c>
      <c r="B771" t="str">
        <f>T("   Réfrigérateurs ménagers à absorption, non-électriques")</f>
        <v xml:space="preserve">   Réfrigérateurs ménagers à absorption, non-électriques</v>
      </c>
      <c r="C771">
        <v>7708352</v>
      </c>
      <c r="D771">
        <v>20157</v>
      </c>
    </row>
    <row r="772" spans="1:4" x14ac:dyDescent="0.25">
      <c r="A772" t="str">
        <f>T("   841869")</f>
        <v xml:space="preserve">   841869</v>
      </c>
      <c r="B772"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772">
        <v>38709512</v>
      </c>
      <c r="D772">
        <v>27446</v>
      </c>
    </row>
    <row r="773" spans="1:4" x14ac:dyDescent="0.25">
      <c r="A773" t="str">
        <f>T("   841899")</f>
        <v xml:space="preserve">   841899</v>
      </c>
      <c r="B773"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773">
        <v>8049941</v>
      </c>
      <c r="D773">
        <v>4502</v>
      </c>
    </row>
    <row r="774" spans="1:4" x14ac:dyDescent="0.25">
      <c r="A774" t="str">
        <f>T("   841989")</f>
        <v xml:space="preserve">   841989</v>
      </c>
      <c r="B774" t="s">
        <v>405</v>
      </c>
      <c r="C774">
        <v>14967705</v>
      </c>
      <c r="D774">
        <v>476</v>
      </c>
    </row>
    <row r="775" spans="1:4" x14ac:dyDescent="0.25">
      <c r="A775" t="str">
        <f>T("   842121")</f>
        <v xml:space="preserve">   842121</v>
      </c>
      <c r="B775" t="str">
        <f>T("   Appareils pour la filtration ou l'épuration des eaux")</f>
        <v xml:space="preserve">   Appareils pour la filtration ou l'épuration des eaux</v>
      </c>
      <c r="C775">
        <v>1023718153</v>
      </c>
      <c r="D775">
        <v>73365</v>
      </c>
    </row>
    <row r="776" spans="1:4" x14ac:dyDescent="0.25">
      <c r="A776" t="str">
        <f>T("   842123")</f>
        <v xml:space="preserve">   842123</v>
      </c>
      <c r="B776"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776">
        <v>1891789</v>
      </c>
      <c r="D776">
        <v>62</v>
      </c>
    </row>
    <row r="777" spans="1:4" x14ac:dyDescent="0.25">
      <c r="A777" t="str">
        <f>T("   842131")</f>
        <v xml:space="preserve">   842131</v>
      </c>
      <c r="B777" t="str">
        <f>T("   Filtres d'entrée d'air pour moteurs à allumage par étincelles ou par compression")</f>
        <v xml:space="preserve">   Filtres d'entrée d'air pour moteurs à allumage par étincelles ou par compression</v>
      </c>
      <c r="C777">
        <v>2894606</v>
      </c>
      <c r="D777">
        <v>188</v>
      </c>
    </row>
    <row r="778" spans="1:4" x14ac:dyDescent="0.25">
      <c r="A778" t="str">
        <f>T("   842139")</f>
        <v xml:space="preserve">   842139</v>
      </c>
      <c r="B778"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778">
        <v>5761490</v>
      </c>
      <c r="D778">
        <v>290</v>
      </c>
    </row>
    <row r="779" spans="1:4" x14ac:dyDescent="0.25">
      <c r="A779" t="str">
        <f>T("   842191")</f>
        <v xml:space="preserve">   842191</v>
      </c>
      <c r="B779" t="str">
        <f>T("   Parties de centrifugeuses, y.c. d'essoreuses centrifuges, n.d.a.")</f>
        <v xml:space="preserve">   Parties de centrifugeuses, y.c. d'essoreuses centrifuges, n.d.a.</v>
      </c>
      <c r="C779">
        <v>2350961</v>
      </c>
      <c r="D779">
        <v>11</v>
      </c>
    </row>
    <row r="780" spans="1:4" x14ac:dyDescent="0.25">
      <c r="A780" t="str">
        <f>T("   842199")</f>
        <v xml:space="preserve">   842199</v>
      </c>
      <c r="B780" t="str">
        <f>T("   Parties d'appareils pour la filtration ou l'épuration des liquides ou des gaz, n.d.a.")</f>
        <v xml:space="preserve">   Parties d'appareils pour la filtration ou l'épuration des liquides ou des gaz, n.d.a.</v>
      </c>
      <c r="C780">
        <v>4364410</v>
      </c>
      <c r="D780">
        <v>200.9</v>
      </c>
    </row>
    <row r="781" spans="1:4" x14ac:dyDescent="0.25">
      <c r="A781" t="str">
        <f>T("   842211")</f>
        <v xml:space="preserve">   842211</v>
      </c>
      <c r="B781" t="str">
        <f>T("   Machines à laver la vaisselle, de type ménager")</f>
        <v xml:space="preserve">   Machines à laver la vaisselle, de type ménager</v>
      </c>
      <c r="C781">
        <v>50000</v>
      </c>
      <c r="D781">
        <v>250</v>
      </c>
    </row>
    <row r="782" spans="1:4" x14ac:dyDescent="0.25">
      <c r="A782" t="str">
        <f>T("   842230")</f>
        <v xml:space="preserve">   842230</v>
      </c>
      <c r="B782"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782">
        <v>13421800</v>
      </c>
      <c r="D782">
        <v>60000</v>
      </c>
    </row>
    <row r="783" spans="1:4" x14ac:dyDescent="0.25">
      <c r="A783" t="str">
        <f>T("   842240")</f>
        <v xml:space="preserve">   842240</v>
      </c>
      <c r="B783" t="s">
        <v>406</v>
      </c>
      <c r="C783">
        <v>1029857</v>
      </c>
      <c r="D783">
        <v>1000</v>
      </c>
    </row>
    <row r="784" spans="1:4" x14ac:dyDescent="0.25">
      <c r="A784" t="str">
        <f>T("   842290")</f>
        <v xml:space="preserve">   842290</v>
      </c>
      <c r="B784"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784">
        <v>1430649</v>
      </c>
      <c r="D784">
        <v>1</v>
      </c>
    </row>
    <row r="785" spans="1:4" x14ac:dyDescent="0.25">
      <c r="A785" t="str">
        <f>T("   842420")</f>
        <v xml:space="preserve">   842420</v>
      </c>
      <c r="B785" t="s">
        <v>408</v>
      </c>
      <c r="C785">
        <v>1172201</v>
      </c>
      <c r="D785">
        <v>750</v>
      </c>
    </row>
    <row r="786" spans="1:4" x14ac:dyDescent="0.25">
      <c r="A786" t="str">
        <f>T("   842489")</f>
        <v xml:space="preserve">   842489</v>
      </c>
      <c r="B786"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786">
        <v>840941</v>
      </c>
      <c r="D786">
        <v>2</v>
      </c>
    </row>
    <row r="787" spans="1:4" x14ac:dyDescent="0.25">
      <c r="A787" t="str">
        <f>T("   842490")</f>
        <v xml:space="preserve">   842490</v>
      </c>
      <c r="B787" t="s">
        <v>410</v>
      </c>
      <c r="C787">
        <v>2250828</v>
      </c>
      <c r="D787">
        <v>105</v>
      </c>
    </row>
    <row r="788" spans="1:4" x14ac:dyDescent="0.25">
      <c r="A788" t="str">
        <f>T("   842542")</f>
        <v xml:space="preserve">   842542</v>
      </c>
      <c r="B788" t="str">
        <f>T("   Crics et vérins, hydrauliques (sauf élévateurs fixes des types utilisés dans les garages pour voitures)")</f>
        <v xml:space="preserve">   Crics et vérins, hydrauliques (sauf élévateurs fixes des types utilisés dans les garages pour voitures)</v>
      </c>
      <c r="C788">
        <v>37390</v>
      </c>
      <c r="D788">
        <v>765</v>
      </c>
    </row>
    <row r="789" spans="1:4" x14ac:dyDescent="0.25">
      <c r="A789" t="str">
        <f>T("   842649")</f>
        <v xml:space="preserve">   842649</v>
      </c>
      <c r="B789" t="str">
        <f>T("   Bigues et chariots-grues et appareils autopropulsés (autres que sur pneumatiques et sauf chariots-cavaliers)")</f>
        <v xml:space="preserve">   Bigues et chariots-grues et appareils autopropulsés (autres que sur pneumatiques et sauf chariots-cavaliers)</v>
      </c>
      <c r="C789">
        <v>150215</v>
      </c>
      <c r="D789">
        <v>10</v>
      </c>
    </row>
    <row r="790" spans="1:4" x14ac:dyDescent="0.25">
      <c r="A790" t="str">
        <f>T("   842720")</f>
        <v xml:space="preserve">   842720</v>
      </c>
      <c r="B790" t="str">
        <f>T("   Chariots de manutention autopropulsés, autres qu'à moteur électrique, avec dispositif de levage")</f>
        <v xml:space="preserve">   Chariots de manutention autopropulsés, autres qu'à moteur électrique, avec dispositif de levage</v>
      </c>
      <c r="C790">
        <v>352503012</v>
      </c>
      <c r="D790">
        <v>130450</v>
      </c>
    </row>
    <row r="791" spans="1:4" x14ac:dyDescent="0.25">
      <c r="A791" t="str">
        <f>T("   842790")</f>
        <v xml:space="preserve">   842790</v>
      </c>
      <c r="B791" t="str">
        <f>T("   Chariots de manutention munis d'un dispositif de levage mais non autopropulsés")</f>
        <v xml:space="preserve">   Chariots de manutention munis d'un dispositif de levage mais non autopropulsés</v>
      </c>
      <c r="C791">
        <v>11838136</v>
      </c>
      <c r="D791">
        <v>6015</v>
      </c>
    </row>
    <row r="792" spans="1:4" x14ac:dyDescent="0.25">
      <c r="A792" t="str">
        <f>T("   842820")</f>
        <v xml:space="preserve">   842820</v>
      </c>
      <c r="B792" t="str">
        <f>T("   Appareils élévateurs ou transporteurs, pneumatiques")</f>
        <v xml:space="preserve">   Appareils élévateurs ou transporteurs, pneumatiques</v>
      </c>
      <c r="C792">
        <v>191839437</v>
      </c>
      <c r="D792">
        <v>40300</v>
      </c>
    </row>
    <row r="793" spans="1:4" x14ac:dyDescent="0.25">
      <c r="A793" t="str">
        <f>T("   842839")</f>
        <v xml:space="preserve">   842839</v>
      </c>
      <c r="B793"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793">
        <v>305021</v>
      </c>
      <c r="D793">
        <v>309</v>
      </c>
    </row>
    <row r="794" spans="1:4" x14ac:dyDescent="0.25">
      <c r="A794" t="str">
        <f>T("   842890")</f>
        <v xml:space="preserve">   842890</v>
      </c>
      <c r="B794" t="str">
        <f>T("   Machines et appareils de levage, chargement, déchargement ou manutention, n.d.a.")</f>
        <v xml:space="preserve">   Machines et appareils de levage, chargement, déchargement ou manutention, n.d.a.</v>
      </c>
      <c r="C794">
        <v>157430</v>
      </c>
      <c r="D794">
        <v>650</v>
      </c>
    </row>
    <row r="795" spans="1:4" x14ac:dyDescent="0.25">
      <c r="A795" t="str">
        <f>T("   842911")</f>
        <v xml:space="preserve">   842911</v>
      </c>
      <c r="B795" t="str">
        <f>T("   Bouteurs 'bulldozers' et bouteurs biais 'angledozers', à chenilles")</f>
        <v xml:space="preserve">   Bouteurs 'bulldozers' et bouteurs biais 'angledozers', à chenilles</v>
      </c>
      <c r="C795">
        <v>131182161</v>
      </c>
      <c r="D795">
        <v>21502</v>
      </c>
    </row>
    <row r="796" spans="1:4" x14ac:dyDescent="0.25">
      <c r="A796" t="str">
        <f>T("   842919")</f>
        <v xml:space="preserve">   842919</v>
      </c>
      <c r="B796" t="str">
        <f>T("   Bouteurs 'bulldozers' et bouteurs biais 'angledozers', sur roues")</f>
        <v xml:space="preserve">   Bouteurs 'bulldozers' et bouteurs biais 'angledozers', sur roues</v>
      </c>
      <c r="C796">
        <v>4120085</v>
      </c>
      <c r="D796">
        <v>7000</v>
      </c>
    </row>
    <row r="797" spans="1:4" x14ac:dyDescent="0.25">
      <c r="A797" t="str">
        <f>T("   842920")</f>
        <v xml:space="preserve">   842920</v>
      </c>
      <c r="B797" t="str">
        <f>T("   Niveleuses autopropulsées")</f>
        <v xml:space="preserve">   Niveleuses autopropulsées</v>
      </c>
      <c r="C797">
        <v>203840881</v>
      </c>
      <c r="D797">
        <v>31200</v>
      </c>
    </row>
    <row r="798" spans="1:4" x14ac:dyDescent="0.25">
      <c r="A798" t="str">
        <f>T("   842940")</f>
        <v xml:space="preserve">   842940</v>
      </c>
      <c r="B798" t="str">
        <f>T("   Rouleaux compresseurs et autres compacteuses, autopropulsés")</f>
        <v xml:space="preserve">   Rouleaux compresseurs et autres compacteuses, autopropulsés</v>
      </c>
      <c r="C798">
        <v>4928715</v>
      </c>
      <c r="D798">
        <v>1633</v>
      </c>
    </row>
    <row r="799" spans="1:4" x14ac:dyDescent="0.25">
      <c r="A799" t="str">
        <f>T("   842951")</f>
        <v xml:space="preserve">   842951</v>
      </c>
      <c r="B799" t="str">
        <f>T("   Chargeuses et chargeuses-pelleteuses, à chargement frontal, autopropulsées")</f>
        <v xml:space="preserve">   Chargeuses et chargeuses-pelleteuses, à chargement frontal, autopropulsées</v>
      </c>
      <c r="C799">
        <v>241582146</v>
      </c>
      <c r="D799">
        <v>102952</v>
      </c>
    </row>
    <row r="800" spans="1:4" x14ac:dyDescent="0.25">
      <c r="A800" t="str">
        <f>T("   842959")</f>
        <v xml:space="preserve">   842959</v>
      </c>
      <c r="B800"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800">
        <v>175787080</v>
      </c>
      <c r="D800">
        <v>227500</v>
      </c>
    </row>
    <row r="801" spans="1:4" x14ac:dyDescent="0.25">
      <c r="A801" t="str">
        <f>T("   843049")</f>
        <v xml:space="preserve">   843049</v>
      </c>
      <c r="B801"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801">
        <v>4602870</v>
      </c>
      <c r="D801">
        <v>22900</v>
      </c>
    </row>
    <row r="802" spans="1:4" x14ac:dyDescent="0.25">
      <c r="A802" t="str">
        <f>T("   843120")</f>
        <v xml:space="preserve">   843120</v>
      </c>
      <c r="B802" t="str">
        <f>T("   Parties de chariots-gerbeurs et autres chariots de manutention munis d'un dispositif de levage, n.d.a.")</f>
        <v xml:space="preserve">   Parties de chariots-gerbeurs et autres chariots de manutention munis d'un dispositif de levage, n.d.a.</v>
      </c>
      <c r="C802">
        <v>2056262</v>
      </c>
      <c r="D802">
        <v>107.5</v>
      </c>
    </row>
    <row r="803" spans="1:4" x14ac:dyDescent="0.25">
      <c r="A803" t="str">
        <f>T("   843139")</f>
        <v xml:space="preserve">   843139</v>
      </c>
      <c r="B803" t="str">
        <f>T("   Parties de machines et appareils du n° 8428, n.d.a.")</f>
        <v xml:space="preserve">   Parties de machines et appareils du n° 8428, n.d.a.</v>
      </c>
      <c r="C803">
        <v>8186738</v>
      </c>
      <c r="D803">
        <v>1017</v>
      </c>
    </row>
    <row r="804" spans="1:4" x14ac:dyDescent="0.25">
      <c r="A804" t="str">
        <f>T("   843141")</f>
        <v xml:space="preserve">   843141</v>
      </c>
      <c r="B804" t="str">
        <f>T("   Godets, bennes, bennes-preneuses, pelles, grappins et pinces pour machines et appareils du n° 8426, 8429 ou 8430")</f>
        <v xml:space="preserve">   Godets, bennes, bennes-preneuses, pelles, grappins et pinces pour machines et appareils du n° 8426, 8429 ou 8430</v>
      </c>
      <c r="C804">
        <v>48734548</v>
      </c>
      <c r="D804">
        <v>6300</v>
      </c>
    </row>
    <row r="805" spans="1:4" x14ac:dyDescent="0.25">
      <c r="A805" t="str">
        <f>T("   843143")</f>
        <v xml:space="preserve">   843143</v>
      </c>
      <c r="B805" t="str">
        <f>T("   Parties de machines de sondage ou de forage du n° 8430.41 ou 8430.49, n.d.a.")</f>
        <v xml:space="preserve">   Parties de machines de sondage ou de forage du n° 8430.41 ou 8430.49, n.d.a.</v>
      </c>
      <c r="C805">
        <v>16626255</v>
      </c>
      <c r="D805">
        <v>18059</v>
      </c>
    </row>
    <row r="806" spans="1:4" x14ac:dyDescent="0.25">
      <c r="A806" t="str">
        <f>T("   843149")</f>
        <v xml:space="preserve">   843149</v>
      </c>
      <c r="B806" t="str">
        <f>T("   Parties de machines et appareils du n° 8426, 8429 ou 8430, n.d.a.")</f>
        <v xml:space="preserve">   Parties de machines et appareils du n° 8426, 8429 ou 8430, n.d.a.</v>
      </c>
      <c r="C806">
        <v>316420694</v>
      </c>
      <c r="D806">
        <v>20053.5</v>
      </c>
    </row>
    <row r="807" spans="1:4" x14ac:dyDescent="0.25">
      <c r="A807" t="str">
        <f>T("   843290")</f>
        <v xml:space="preserve">   843290</v>
      </c>
      <c r="B807" t="str">
        <f>T("   Parties de machines, appareils et engins agricoles, sylvicoles ou horticoles pour la préparation ou le travail du sol ou pour la culture, ainsi que de rouleaux pour pelouses ou terrains de sport, n.d.a.")</f>
        <v xml:space="preserve">   Parties de machines, appareils et engins agricoles, sylvicoles ou horticoles pour la préparation ou le travail du sol ou pour la culture, ainsi que de rouleaux pour pelouses ou terrains de sport, n.d.a.</v>
      </c>
      <c r="C807">
        <v>1610381</v>
      </c>
      <c r="D807">
        <v>400</v>
      </c>
    </row>
    <row r="808" spans="1:4" x14ac:dyDescent="0.25">
      <c r="A808" t="str">
        <f>T("   843629")</f>
        <v xml:space="preserve">   843629</v>
      </c>
      <c r="B808" t="str">
        <f>T("   Machines et appareils pour l'aviculture (sauf machines à trier les oeufs, machines à plumer du n° 8438 et sauf couveuses et éleveuses)")</f>
        <v xml:space="preserve">   Machines et appareils pour l'aviculture (sauf machines à trier les oeufs, machines à plumer du n° 8438 et sauf couveuses et éleveuses)</v>
      </c>
      <c r="C808">
        <v>730831</v>
      </c>
      <c r="D808">
        <v>300</v>
      </c>
    </row>
    <row r="809" spans="1:4" x14ac:dyDescent="0.25">
      <c r="A809" t="str">
        <f>T("   843790")</f>
        <v xml:space="preserve">   843790</v>
      </c>
      <c r="B809"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809">
        <v>6543791</v>
      </c>
      <c r="D809">
        <v>200</v>
      </c>
    </row>
    <row r="810" spans="1:4" x14ac:dyDescent="0.25">
      <c r="A810" t="str">
        <f>T("   843840")</f>
        <v xml:space="preserve">   843840</v>
      </c>
      <c r="B810" t="str">
        <f>T("   Machines et appareils pour la brasserie (sauf centrifugeuses et sauf appareils de filtrage, appareils thermiques et appareils de refroidissement)")</f>
        <v xml:space="preserve">   Machines et appareils pour la brasserie (sauf centrifugeuses et sauf appareils de filtrage, appareils thermiques et appareils de refroidissement)</v>
      </c>
      <c r="C810">
        <v>2412639246</v>
      </c>
      <c r="D810">
        <v>155958</v>
      </c>
    </row>
    <row r="811" spans="1:4" x14ac:dyDescent="0.25">
      <c r="A811" t="str">
        <f>T("   843890")</f>
        <v xml:space="preserve">   843890</v>
      </c>
      <c r="B811"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811">
        <v>1288961</v>
      </c>
      <c r="D811">
        <v>124</v>
      </c>
    </row>
    <row r="812" spans="1:4" x14ac:dyDescent="0.25">
      <c r="A812" t="str">
        <f>T("   844010")</f>
        <v xml:space="preserve">   844010</v>
      </c>
      <c r="B812" t="s">
        <v>418</v>
      </c>
      <c r="C812">
        <v>1973128</v>
      </c>
      <c r="D812">
        <v>840</v>
      </c>
    </row>
    <row r="813" spans="1:4" x14ac:dyDescent="0.25">
      <c r="A813" t="str">
        <f>T("   844090")</f>
        <v xml:space="preserve">   844090</v>
      </c>
      <c r="B813" t="str">
        <f>T("   Parties de machines et appareils pour le brochage ou la reliure, n.d.a.")</f>
        <v xml:space="preserve">   Parties de machines et appareils pour le brochage ou la reliure, n.d.a.</v>
      </c>
      <c r="C813">
        <v>394888</v>
      </c>
      <c r="D813">
        <v>168</v>
      </c>
    </row>
    <row r="814" spans="1:4" x14ac:dyDescent="0.25">
      <c r="A814" t="str">
        <f>T("   844230")</f>
        <v xml:space="preserve">   844230</v>
      </c>
      <c r="B814" t="s">
        <v>419</v>
      </c>
      <c r="C814">
        <v>3865343</v>
      </c>
      <c r="D814">
        <v>1450</v>
      </c>
    </row>
    <row r="815" spans="1:4" x14ac:dyDescent="0.25">
      <c r="A815" t="str">
        <f>T("   844240")</f>
        <v xml:space="preserve">   844240</v>
      </c>
      <c r="B815" t="str">
        <f>T("   Parties de machines, appareils ou matériel à fondre ou à composer les caractères ou pour la préparation ou la fabrication de clichés, planches, cylindres ou autres organes imprimants, n.d.a.")</f>
        <v xml:space="preserve">   Parties de machines, appareils ou matériel à fondre ou à composer les caractères ou pour la préparation ou la fabrication de clichés, planches, cylindres ou autres organes imprimants, n.d.a.</v>
      </c>
      <c r="C815">
        <v>2880353</v>
      </c>
      <c r="D815">
        <v>208</v>
      </c>
    </row>
    <row r="816" spans="1:4" x14ac:dyDescent="0.25">
      <c r="A816" t="str">
        <f>T("   844359")</f>
        <v xml:space="preserve">   844359</v>
      </c>
      <c r="B816" t="s">
        <v>421</v>
      </c>
      <c r="C816">
        <v>26433220</v>
      </c>
      <c r="D816">
        <v>27259</v>
      </c>
    </row>
    <row r="817" spans="1:4" x14ac:dyDescent="0.25">
      <c r="A817" t="str">
        <f>T("   844390")</f>
        <v xml:space="preserve">   844390</v>
      </c>
      <c r="B817" t="str">
        <f>T("   Parties de machines et appareils à imprimer et de leur machines et appareils auxiliaires, n.d.a.")</f>
        <v xml:space="preserve">   Parties de machines et appareils à imprimer et de leur machines et appareils auxiliaires, n.d.a.</v>
      </c>
      <c r="C817">
        <v>470324</v>
      </c>
      <c r="D817">
        <v>490</v>
      </c>
    </row>
    <row r="818" spans="1:4" x14ac:dyDescent="0.25">
      <c r="A818" t="str">
        <f>T("   844831")</f>
        <v xml:space="preserve">   844831</v>
      </c>
      <c r="B818" t="str">
        <f>T("   GARNITURES DE CARDÉS DE MACHINES POUR LA PRÉPARATION DES MATIÈRES TEXTILES")</f>
        <v xml:space="preserve">   GARNITURES DE CARDÉS DE MACHINES POUR LA PRÉPARATION DES MATIÈRES TEXTILES</v>
      </c>
      <c r="C818">
        <v>5810848</v>
      </c>
      <c r="D818">
        <v>390</v>
      </c>
    </row>
    <row r="819" spans="1:4" x14ac:dyDescent="0.25">
      <c r="A819" t="str">
        <f>T("   844832")</f>
        <v xml:space="preserve">   844832</v>
      </c>
      <c r="B819" t="str">
        <f>T("   PARTIES ET ACCESSOIRES DE MACHINES POUR LA PRÉPARATION DES MATIÈRES TEXTILES, N.D.A. (AUTRES QUE LES GARNITURES DE CARDÉS)")</f>
        <v xml:space="preserve">   PARTIES ET ACCESSOIRES DE MACHINES POUR LA PRÉPARATION DES MATIÈRES TEXTILES, N.D.A. (AUTRES QUE LES GARNITURES DE CARDÉS)</v>
      </c>
      <c r="C819">
        <v>8061747</v>
      </c>
      <c r="D819">
        <v>853</v>
      </c>
    </row>
    <row r="820" spans="1:4" x14ac:dyDescent="0.25">
      <c r="A820" t="str">
        <f>T("   844839")</f>
        <v xml:space="preserve">   844839</v>
      </c>
      <c r="B820" t="str">
        <f>T("   Parties et accessoires des machines du n° 8445, n.d.a.")</f>
        <v xml:space="preserve">   Parties et accessoires des machines du n° 8445, n.d.a.</v>
      </c>
      <c r="C820">
        <v>45258645</v>
      </c>
      <c r="D820">
        <v>6741</v>
      </c>
    </row>
    <row r="821" spans="1:4" x14ac:dyDescent="0.25">
      <c r="A821" t="str">
        <f>T("   845019")</f>
        <v xml:space="preserve">   845019</v>
      </c>
      <c r="B821"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821">
        <v>750418</v>
      </c>
      <c r="D821">
        <v>5000</v>
      </c>
    </row>
    <row r="822" spans="1:4" x14ac:dyDescent="0.25">
      <c r="A822" t="str">
        <f>T("   845140")</f>
        <v xml:space="preserve">   845140</v>
      </c>
      <c r="B822" t="str">
        <f>T("   Machines et appareils pour le lavage, le blanchiment ou la teinture de fils, tissus ou autres ouvrages en matières textiles (sauf machines à laver le linge)")</f>
        <v xml:space="preserve">   Machines et appareils pour le lavage, le blanchiment ou la teinture de fils, tissus ou autres ouvrages en matières textiles (sauf machines à laver le linge)</v>
      </c>
      <c r="C822">
        <v>467044</v>
      </c>
      <c r="D822">
        <v>298</v>
      </c>
    </row>
    <row r="823" spans="1:4" x14ac:dyDescent="0.25">
      <c r="A823" t="str">
        <f>T("   846594")</f>
        <v xml:space="preserve">   846594</v>
      </c>
      <c r="B823" t="str">
        <f>T("   Machines à cintrer ou à assembler, pour le travail du bois, des matières plastiques dures, etc. (autres que machines pour emploi à la main)")</f>
        <v xml:space="preserve">   Machines à cintrer ou à assembler, pour le travail du bois, des matières plastiques dures, etc. (autres que machines pour emploi à la main)</v>
      </c>
      <c r="C823">
        <v>653526</v>
      </c>
      <c r="D823">
        <v>273</v>
      </c>
    </row>
    <row r="824" spans="1:4" x14ac:dyDescent="0.25">
      <c r="A824" t="str">
        <f>T("   846599")</f>
        <v xml:space="preserve">   846599</v>
      </c>
      <c r="B824" t="s">
        <v>431</v>
      </c>
      <c r="C824">
        <v>327980</v>
      </c>
      <c r="D824">
        <v>150</v>
      </c>
    </row>
    <row r="825" spans="1:4" x14ac:dyDescent="0.25">
      <c r="A825" t="str">
        <f>T("   846692")</f>
        <v xml:space="preserve">   846692</v>
      </c>
      <c r="B825" t="str">
        <f>T("   Parties et accessoires pour machines-outils pour le travail du bois, des matières plastiques dures, etc., n.d.a.")</f>
        <v xml:space="preserve">   Parties et accessoires pour machines-outils pour le travail du bois, des matières plastiques dures, etc., n.d.a.</v>
      </c>
      <c r="C825">
        <v>4583800</v>
      </c>
      <c r="D825">
        <v>10500</v>
      </c>
    </row>
    <row r="826" spans="1:4" x14ac:dyDescent="0.25">
      <c r="A826" t="str">
        <f>T("   846721")</f>
        <v xml:space="preserve">   846721</v>
      </c>
      <c r="B826" t="str">
        <f>T("   Perceuses à moteur électrique incorporé, pour emploi à la main, y.c. les perforatrices rotatives")</f>
        <v xml:space="preserve">   Perceuses à moteur électrique incorporé, pour emploi à la main, y.c. les perforatrices rotatives</v>
      </c>
      <c r="C826">
        <v>93802</v>
      </c>
      <c r="D826">
        <v>18</v>
      </c>
    </row>
    <row r="827" spans="1:4" x14ac:dyDescent="0.25">
      <c r="A827" t="str">
        <f>T("   846880")</f>
        <v xml:space="preserve">   846880</v>
      </c>
      <c r="B827" t="str">
        <f>T("   Machines et appareils pour le brasage ou le soudage (autres qu'aux gaz et à l'excl. des machines ou appareils pour le brasage ou le soudage électriques du n° 8515)")</f>
        <v xml:space="preserve">   Machines et appareils pour le brasage ou le soudage (autres qu'aux gaz et à l'excl. des machines ou appareils pour le brasage ou le soudage électriques du n° 8515)</v>
      </c>
      <c r="C827">
        <v>4332616</v>
      </c>
      <c r="D827">
        <v>7788</v>
      </c>
    </row>
    <row r="828" spans="1:4" x14ac:dyDescent="0.25">
      <c r="A828" t="str">
        <f>T("   847110")</f>
        <v xml:space="preserve">   847110</v>
      </c>
      <c r="B828" t="str">
        <f>T("   Machines automatiques de traitement de l'information, analogiques ou hybrides")</f>
        <v xml:space="preserve">   Machines automatiques de traitement de l'information, analogiques ou hybrides</v>
      </c>
      <c r="C828">
        <v>1195159</v>
      </c>
      <c r="D828">
        <v>1.65</v>
      </c>
    </row>
    <row r="829" spans="1:4" x14ac:dyDescent="0.25">
      <c r="A829" t="str">
        <f>T("   847141")</f>
        <v xml:space="preserve">   847141</v>
      </c>
      <c r="B829" t="s">
        <v>434</v>
      </c>
      <c r="C829">
        <v>1246324</v>
      </c>
      <c r="D829">
        <v>2700</v>
      </c>
    </row>
    <row r="830" spans="1:4" x14ac:dyDescent="0.25">
      <c r="A830" t="str">
        <f>T("   847149")</f>
        <v xml:space="preserve">   847149</v>
      </c>
      <c r="B830" t="s">
        <v>435</v>
      </c>
      <c r="C830">
        <v>473603</v>
      </c>
      <c r="D830">
        <v>500</v>
      </c>
    </row>
    <row r="831" spans="1:4" x14ac:dyDescent="0.25">
      <c r="A831" t="str">
        <f>T("   847160")</f>
        <v xml:space="preserve">   847160</v>
      </c>
      <c r="B831"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831">
        <v>524768</v>
      </c>
      <c r="D831">
        <v>624</v>
      </c>
    </row>
    <row r="832" spans="1:4" x14ac:dyDescent="0.25">
      <c r="A832" t="str">
        <f>T("   847170")</f>
        <v xml:space="preserve">   847170</v>
      </c>
      <c r="B832" t="str">
        <f>T("   UNITÉS DE MÉMOIRE POUR MACHINES AUTOMATIQUES DE TRAITEMENT DE L'INFORMATION")</f>
        <v xml:space="preserve">   UNITÉS DE MÉMOIRE POUR MACHINES AUTOMATIQUES DE TRAITEMENT DE L'INFORMATION</v>
      </c>
      <c r="C832">
        <v>4339038</v>
      </c>
      <c r="D832">
        <v>411</v>
      </c>
    </row>
    <row r="833" spans="1:4" x14ac:dyDescent="0.25">
      <c r="A833" t="str">
        <f>T("   847180")</f>
        <v xml:space="preserve">   847180</v>
      </c>
      <c r="B833"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833">
        <v>4220972</v>
      </c>
      <c r="D833">
        <v>1774</v>
      </c>
    </row>
    <row r="834" spans="1:4" x14ac:dyDescent="0.25">
      <c r="A834" t="str">
        <f>T("   847190")</f>
        <v xml:space="preserve">   847190</v>
      </c>
      <c r="B83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34">
        <v>32279136</v>
      </c>
      <c r="D834">
        <v>25508</v>
      </c>
    </row>
    <row r="835" spans="1:4" x14ac:dyDescent="0.25">
      <c r="A835" t="str">
        <f>T("   847330")</f>
        <v xml:space="preserve">   847330</v>
      </c>
      <c r="B835" t="str">
        <f>T("   Parties et accessoires pour machines automatiques de traitement de l'information ou pour autres machines du n° 8471, n.d.a.")</f>
        <v xml:space="preserve">   Parties et accessoires pour machines automatiques de traitement de l'information ou pour autres machines du n° 8471, n.d.a.</v>
      </c>
      <c r="C835">
        <v>2382980</v>
      </c>
      <c r="D835">
        <v>4155</v>
      </c>
    </row>
    <row r="836" spans="1:4" x14ac:dyDescent="0.25">
      <c r="A836" t="str">
        <f>T("   847340")</f>
        <v xml:space="preserve">   847340</v>
      </c>
      <c r="B836" t="str">
        <f>T("   Parties et accessoires pour autres machines et appareils de bureau du n° 8472, n.d.a.")</f>
        <v xml:space="preserve">   Parties et accessoires pour autres machines et appareils de bureau du n° 8472, n.d.a.</v>
      </c>
      <c r="C836">
        <v>388722</v>
      </c>
      <c r="D836">
        <v>1</v>
      </c>
    </row>
    <row r="837" spans="1:4" x14ac:dyDescent="0.25">
      <c r="A837" t="str">
        <f>T("   847490")</f>
        <v xml:space="preserve">   847490</v>
      </c>
      <c r="B837" t="str">
        <f>T("   Parties des machines et appareils pour le travail des matières minérales du n° 8474, n.d.a.")</f>
        <v xml:space="preserve">   Parties des machines et appareils pour le travail des matières minérales du n° 8474, n.d.a.</v>
      </c>
      <c r="C837">
        <v>62586764</v>
      </c>
      <c r="D837">
        <v>9711</v>
      </c>
    </row>
    <row r="838" spans="1:4" x14ac:dyDescent="0.25">
      <c r="A838" t="str">
        <f>T("   847690")</f>
        <v xml:space="preserve">   847690</v>
      </c>
      <c r="B838" t="str">
        <f>T("   Parties des machines automatiques de vente de produits, y.c. les machines automatiques pour changer la monnaie, n.d.a.")</f>
        <v xml:space="preserve">   Parties des machines automatiques de vente de produits, y.c. les machines automatiques pour changer la monnaie, n.d.a.</v>
      </c>
      <c r="C838">
        <v>709758</v>
      </c>
      <c r="D838">
        <v>828</v>
      </c>
    </row>
    <row r="839" spans="1:4" x14ac:dyDescent="0.25">
      <c r="A839" t="str">
        <f>T("   847989")</f>
        <v xml:space="preserve">   847989</v>
      </c>
      <c r="B839" t="str">
        <f>T("   Machines et appareils, y.c. les appareils mécaniques, n.d.a.")</f>
        <v xml:space="preserve">   Machines et appareils, y.c. les appareils mécaniques, n.d.a.</v>
      </c>
      <c r="C839">
        <v>6057791</v>
      </c>
      <c r="D839">
        <v>750</v>
      </c>
    </row>
    <row r="840" spans="1:4" x14ac:dyDescent="0.25">
      <c r="A840" t="str">
        <f>T("   847990")</f>
        <v xml:space="preserve">   847990</v>
      </c>
      <c r="B840" t="str">
        <f>T("   Parties de machines et appareils, y.c. les appareils mécaniques, n.d.a.")</f>
        <v xml:space="preserve">   Parties de machines et appareils, y.c. les appareils mécaniques, n.d.a.</v>
      </c>
      <c r="C840">
        <v>111140103</v>
      </c>
      <c r="D840">
        <v>4817</v>
      </c>
    </row>
    <row r="841" spans="1:4" x14ac:dyDescent="0.25">
      <c r="A841" t="str">
        <f>T("   848120")</f>
        <v xml:space="preserve">   848120</v>
      </c>
      <c r="B841" t="str">
        <f>T("   Valves pour transmissions oléohydrauliques ou pneumatiques")</f>
        <v xml:space="preserve">   Valves pour transmissions oléohydrauliques ou pneumatiques</v>
      </c>
      <c r="C841">
        <v>2151424</v>
      </c>
      <c r="D841">
        <v>37.799999999999997</v>
      </c>
    </row>
    <row r="842" spans="1:4" x14ac:dyDescent="0.25">
      <c r="A842" t="str">
        <f>T("   848130")</f>
        <v xml:space="preserve">   848130</v>
      </c>
      <c r="B842" t="str">
        <f>T("   Clapets et soupapes de retenue, pour tuyauteries, chaudières, réservoirs, cuves ou contenants simil.")</f>
        <v xml:space="preserve">   Clapets et soupapes de retenue, pour tuyauteries, chaudières, réservoirs, cuves ou contenants simil.</v>
      </c>
      <c r="C842">
        <v>802253</v>
      </c>
      <c r="D842">
        <v>350</v>
      </c>
    </row>
    <row r="843" spans="1:4" x14ac:dyDescent="0.25">
      <c r="A843" t="str">
        <f>T("   848180")</f>
        <v xml:space="preserve">   848180</v>
      </c>
      <c r="B843"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843">
        <v>177637390</v>
      </c>
      <c r="D843">
        <v>15016</v>
      </c>
    </row>
    <row r="844" spans="1:4" x14ac:dyDescent="0.25">
      <c r="A844" t="str">
        <f>T("   848190")</f>
        <v xml:space="preserve">   848190</v>
      </c>
      <c r="B844" t="str">
        <f>T("   Parties d'articles de robinetterie et organes simil. pour tuyauterie, etc., n.d.a.")</f>
        <v xml:space="preserve">   Parties d'articles de robinetterie et organes simil. pour tuyauterie, etc., n.d.a.</v>
      </c>
      <c r="C844">
        <v>3838677</v>
      </c>
      <c r="D844">
        <v>10</v>
      </c>
    </row>
    <row r="845" spans="1:4" x14ac:dyDescent="0.25">
      <c r="A845" t="str">
        <f>T("   848210")</f>
        <v xml:space="preserve">   848210</v>
      </c>
      <c r="B845" t="str">
        <f>T("   Roulements à billes")</f>
        <v xml:space="preserve">   Roulements à billes</v>
      </c>
      <c r="C845">
        <v>3239786</v>
      </c>
      <c r="D845">
        <v>211</v>
      </c>
    </row>
    <row r="846" spans="1:4" x14ac:dyDescent="0.25">
      <c r="A846" t="str">
        <f>T("   848280")</f>
        <v xml:space="preserve">   848280</v>
      </c>
      <c r="B846" t="s">
        <v>442</v>
      </c>
      <c r="C846">
        <v>30631020</v>
      </c>
      <c r="D846">
        <v>1008.5</v>
      </c>
    </row>
    <row r="847" spans="1:4" x14ac:dyDescent="0.25">
      <c r="A847" t="str">
        <f>T("   848299")</f>
        <v xml:space="preserve">   848299</v>
      </c>
      <c r="B847" t="str">
        <f>T("   Parties de roulements à billes, à galets, à rouleaux ou à aiguilles (à l'excl. de leur organe de roulement), n.d.a.")</f>
        <v xml:space="preserve">   Parties de roulements à billes, à galets, à rouleaux ou à aiguilles (à l'excl. de leur organe de roulement), n.d.a.</v>
      </c>
      <c r="C847">
        <v>5679420</v>
      </c>
      <c r="D847">
        <v>363</v>
      </c>
    </row>
    <row r="848" spans="1:4" x14ac:dyDescent="0.25">
      <c r="A848" t="str">
        <f>T("   848310")</f>
        <v xml:space="preserve">   848310</v>
      </c>
      <c r="B848" t="str">
        <f>T("   Arbres de transmission pour machines, y.c. -les arbres à cames et les vilebrequins- et manivelles")</f>
        <v xml:space="preserve">   Arbres de transmission pour machines, y.c. -les arbres à cames et les vilebrequins- et manivelles</v>
      </c>
      <c r="C848">
        <v>144473222</v>
      </c>
      <c r="D848">
        <v>8715</v>
      </c>
    </row>
    <row r="849" spans="1:4" x14ac:dyDescent="0.25">
      <c r="A849" t="str">
        <f>T("   848330")</f>
        <v xml:space="preserve">   848330</v>
      </c>
      <c r="B849" t="str">
        <f>T("   Paliers pour machines, sans roulements incorporés; coussinets et coquilles de coussinets pour machines")</f>
        <v xml:space="preserve">   Paliers pour machines, sans roulements incorporés; coussinets et coquilles de coussinets pour machines</v>
      </c>
      <c r="C849">
        <v>341755</v>
      </c>
      <c r="D849">
        <v>14</v>
      </c>
    </row>
    <row r="850" spans="1:4" x14ac:dyDescent="0.25">
      <c r="A850" t="str">
        <f>T("   848340")</f>
        <v xml:space="preserve">   848340</v>
      </c>
      <c r="B850" t="s">
        <v>443</v>
      </c>
      <c r="C850">
        <v>5378216</v>
      </c>
      <c r="D850">
        <v>48</v>
      </c>
    </row>
    <row r="851" spans="1:4" x14ac:dyDescent="0.25">
      <c r="A851" t="str">
        <f>T("   848350")</f>
        <v xml:space="preserve">   848350</v>
      </c>
      <c r="B851" t="str">
        <f>T("   Volants et poulies, y.c. les poulies à moufles")</f>
        <v xml:space="preserve">   Volants et poulies, y.c. les poulies à moufles</v>
      </c>
      <c r="C851">
        <v>2487400</v>
      </c>
      <c r="D851">
        <v>422</v>
      </c>
    </row>
    <row r="852" spans="1:4" x14ac:dyDescent="0.25">
      <c r="A852" t="str">
        <f>T("   848360")</f>
        <v xml:space="preserve">   848360</v>
      </c>
      <c r="B852" t="str">
        <f>T("   Embrayages et organes d'accouplement, y.c. les joints d'articulation, pour machines")</f>
        <v xml:space="preserve">   Embrayages et organes d'accouplement, y.c. les joints d'articulation, pour machines</v>
      </c>
      <c r="C852">
        <v>6876843</v>
      </c>
      <c r="D852">
        <v>282</v>
      </c>
    </row>
    <row r="853" spans="1:4" x14ac:dyDescent="0.25">
      <c r="A853" t="str">
        <f>T("   848420")</f>
        <v xml:space="preserve">   848420</v>
      </c>
      <c r="B853" t="str">
        <f>T("   Joints d'étanchéité mécaniques")</f>
        <v xml:space="preserve">   Joints d'étanchéité mécaniques</v>
      </c>
      <c r="C853">
        <v>112170</v>
      </c>
      <c r="D853">
        <v>2</v>
      </c>
    </row>
    <row r="854" spans="1:4" x14ac:dyDescent="0.25">
      <c r="A854" t="str">
        <f>T("   848490")</f>
        <v xml:space="preserve">   848490</v>
      </c>
      <c r="B854" t="str">
        <f>T("   Jeux ou assortiments de joints de composition différente présentés en pochettes, enveloppes ou emballages analogues")</f>
        <v xml:space="preserve">   Jeux ou assortiments de joints de composition différente présentés en pochettes, enveloppes ou emballages analogues</v>
      </c>
      <c r="C854">
        <v>71811081</v>
      </c>
      <c r="D854">
        <v>3024.6</v>
      </c>
    </row>
    <row r="855" spans="1:4" x14ac:dyDescent="0.25">
      <c r="A855" t="str">
        <f>T("   850110")</f>
        <v xml:space="preserve">   850110</v>
      </c>
      <c r="B855" t="str">
        <f>T("   Moteurs d'une puissance &lt;= 37,5 W")</f>
        <v xml:space="preserve">   Moteurs d'une puissance &lt;= 37,5 W</v>
      </c>
      <c r="C855">
        <v>98394</v>
      </c>
      <c r="D855">
        <v>850</v>
      </c>
    </row>
    <row r="856" spans="1:4" x14ac:dyDescent="0.25">
      <c r="A856" t="str">
        <f>T("   850131")</f>
        <v xml:space="preserve">   850131</v>
      </c>
      <c r="B856" t="str">
        <f>T("   Moteurs à courant continu, puissance &lt;= 750 W mais &gt; 37,5 W et génératrices à courant continu, puissance &lt;= 750 W")</f>
        <v xml:space="preserve">   Moteurs à courant continu, puissance &lt;= 750 W mais &gt; 37,5 W et génératrices à courant continu, puissance &lt;= 750 W</v>
      </c>
      <c r="C856">
        <v>511039</v>
      </c>
      <c r="D856">
        <v>6</v>
      </c>
    </row>
    <row r="857" spans="1:4" x14ac:dyDescent="0.25">
      <c r="A857" t="str">
        <f>T("   850153")</f>
        <v xml:space="preserve">   850153</v>
      </c>
      <c r="B857" t="str">
        <f>T("   Moteurs à courant alternatif, polyphasés, puissance &gt; 75 kW")</f>
        <v xml:space="preserve">   Moteurs à courant alternatif, polyphasés, puissance &gt; 75 kW</v>
      </c>
      <c r="C857">
        <v>93703886</v>
      </c>
      <c r="D857">
        <v>15750</v>
      </c>
    </row>
    <row r="858" spans="1:4" x14ac:dyDescent="0.25">
      <c r="A858" t="str">
        <f>T("   850211")</f>
        <v xml:space="preserve">   850211</v>
      </c>
      <c r="B858" t="s">
        <v>444</v>
      </c>
      <c r="C858">
        <v>66291198</v>
      </c>
      <c r="D858">
        <v>31865</v>
      </c>
    </row>
    <row r="859" spans="1:4" x14ac:dyDescent="0.25">
      <c r="A859" t="str">
        <f>T("   850220")</f>
        <v xml:space="preserve">   850220</v>
      </c>
      <c r="B859" t="s">
        <v>446</v>
      </c>
      <c r="C859">
        <v>130080486</v>
      </c>
      <c r="D859">
        <v>8240</v>
      </c>
    </row>
    <row r="860" spans="1:4" x14ac:dyDescent="0.25">
      <c r="A860" t="str">
        <f>T("   850239")</f>
        <v xml:space="preserve">   850239</v>
      </c>
      <c r="B860" t="str">
        <f>T("   Groupes électrogènes (autres qu'à énergie éolienne et à moteurs à piston)")</f>
        <v xml:space="preserve">   Groupes électrogènes (autres qu'à énergie éolienne et à moteurs à piston)</v>
      </c>
      <c r="C860">
        <v>4863944</v>
      </c>
      <c r="D860">
        <v>3190</v>
      </c>
    </row>
    <row r="861" spans="1:4" x14ac:dyDescent="0.25">
      <c r="A861" t="str">
        <f>T("   850780")</f>
        <v xml:space="preserve">   850780</v>
      </c>
      <c r="B861" t="str">
        <f>T("   Accumulateurs électriques (sauf hors d'usage et autres qu'au plomb, au nickel-cadmium ou au nickel-fer)")</f>
        <v xml:space="preserve">   Accumulateurs électriques (sauf hors d'usage et autres qu'au plomb, au nickel-cadmium ou au nickel-fer)</v>
      </c>
      <c r="C861">
        <v>150215</v>
      </c>
      <c r="D861">
        <v>90</v>
      </c>
    </row>
    <row r="862" spans="1:4" x14ac:dyDescent="0.25">
      <c r="A862" t="str">
        <f>T("   851140")</f>
        <v xml:space="preserve">   851140</v>
      </c>
      <c r="B862" t="str">
        <f>T("   Démarreurs, même fonctionnant comme génératrices, pour moteurs à allumage par étincelles ou par compression")</f>
        <v xml:space="preserve">   Démarreurs, même fonctionnant comme génératrices, pour moteurs à allumage par étincelles ou par compression</v>
      </c>
      <c r="C862">
        <v>3215093</v>
      </c>
      <c r="D862">
        <v>68</v>
      </c>
    </row>
    <row r="863" spans="1:4" x14ac:dyDescent="0.25">
      <c r="A863" t="str">
        <f>T("   851180")</f>
        <v xml:space="preserve">   851180</v>
      </c>
      <c r="B863" t="s">
        <v>448</v>
      </c>
      <c r="C863">
        <v>411286</v>
      </c>
      <c r="D863">
        <v>20</v>
      </c>
    </row>
    <row r="864" spans="1:4" x14ac:dyDescent="0.25">
      <c r="A864" t="str">
        <f>T("   851220")</f>
        <v xml:space="preserve">   851220</v>
      </c>
      <c r="B864" t="str">
        <f>T("   Appareils électriques d'éclairage ou de signalisation visuelle, pour automobiles (à l'excl. des lampes du n° 8539)")</f>
        <v xml:space="preserve">   Appareils électriques d'éclairage ou de signalisation visuelle, pour automobiles (à l'excl. des lampes du n° 8539)</v>
      </c>
      <c r="C864">
        <v>142344</v>
      </c>
      <c r="D864">
        <v>4</v>
      </c>
    </row>
    <row r="865" spans="1:4" x14ac:dyDescent="0.25">
      <c r="A865" t="str">
        <f>T("   851539")</f>
        <v xml:space="preserve">   851539</v>
      </c>
      <c r="B865" t="str">
        <f>T("   MACHINES ET APPAREILS POUR LE SOUDAGE DES MÉTAUX À L'ARC OU AU JET DE PLASMA, NON-AUTOMATIQUES")</f>
        <v xml:space="preserve">   MACHINES ET APPAREILS POUR LE SOUDAGE DES MÉTAUX À L'ARC OU AU JET DE PLASMA, NON-AUTOMATIQUES</v>
      </c>
      <c r="C865">
        <v>183465</v>
      </c>
      <c r="D865">
        <v>653</v>
      </c>
    </row>
    <row r="866" spans="1:4" x14ac:dyDescent="0.25">
      <c r="A866" t="str">
        <f>T("   851580")</f>
        <v xml:space="preserve">   851580</v>
      </c>
      <c r="B866" t="s">
        <v>450</v>
      </c>
      <c r="C866">
        <v>338000</v>
      </c>
      <c r="D866">
        <v>3000</v>
      </c>
    </row>
    <row r="867" spans="1:4" x14ac:dyDescent="0.25">
      <c r="A867" t="str">
        <f>T("   851640")</f>
        <v xml:space="preserve">   851640</v>
      </c>
      <c r="B867" t="str">
        <f>T("   Fers à repasser électriques")</f>
        <v xml:space="preserve">   Fers à repasser électriques</v>
      </c>
      <c r="C867">
        <v>510336</v>
      </c>
      <c r="D867">
        <v>1400</v>
      </c>
    </row>
    <row r="868" spans="1:4" x14ac:dyDescent="0.25">
      <c r="A868" t="str">
        <f>T("   851711")</f>
        <v xml:space="preserve">   851711</v>
      </c>
      <c r="B868" t="str">
        <f>T("   Postes téléphoniques d'usagers pour la téléphonie par fil à combinés sans fil")</f>
        <v xml:space="preserve">   Postes téléphoniques d'usagers pour la téléphonie par fil à combinés sans fil</v>
      </c>
      <c r="C868">
        <v>15780429</v>
      </c>
      <c r="D868">
        <v>1962</v>
      </c>
    </row>
    <row r="869" spans="1:4" x14ac:dyDescent="0.25">
      <c r="A869" t="str">
        <f>T("   851719")</f>
        <v xml:space="preserve">   851719</v>
      </c>
      <c r="B869"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869">
        <v>970821</v>
      </c>
      <c r="D869">
        <v>1154</v>
      </c>
    </row>
    <row r="870" spans="1:4" x14ac:dyDescent="0.25">
      <c r="A870" t="str">
        <f>T("   851780")</f>
        <v xml:space="preserve">   851780</v>
      </c>
      <c r="B870" t="s">
        <v>453</v>
      </c>
      <c r="C870">
        <v>172053574</v>
      </c>
      <c r="D870">
        <v>1900</v>
      </c>
    </row>
    <row r="871" spans="1:4" x14ac:dyDescent="0.25">
      <c r="A871" t="str">
        <f>T("   851790")</f>
        <v xml:space="preserve">   851790</v>
      </c>
      <c r="B871" t="s">
        <v>454</v>
      </c>
      <c r="C871">
        <v>41427849</v>
      </c>
      <c r="D871">
        <v>9987.6</v>
      </c>
    </row>
    <row r="872" spans="1:4" x14ac:dyDescent="0.25">
      <c r="A872" t="str">
        <f>T("   851850")</f>
        <v xml:space="preserve">   851850</v>
      </c>
      <c r="B872" t="str">
        <f>T("   Appareils électriques d'amplification du son")</f>
        <v xml:space="preserve">   Appareils électriques d'amplification du son</v>
      </c>
      <c r="C872">
        <v>40010</v>
      </c>
      <c r="D872">
        <v>20</v>
      </c>
    </row>
    <row r="873" spans="1:4" x14ac:dyDescent="0.25">
      <c r="A873" t="str">
        <f>T("   851999")</f>
        <v xml:space="preserve">   851999</v>
      </c>
      <c r="B873"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873">
        <v>65596</v>
      </c>
      <c r="D873">
        <v>50</v>
      </c>
    </row>
    <row r="874" spans="1:4" x14ac:dyDescent="0.25">
      <c r="A874" t="str">
        <f>T("   852190")</f>
        <v xml:space="preserve">   852190</v>
      </c>
      <c r="B874" t="s">
        <v>457</v>
      </c>
      <c r="C874">
        <v>655960</v>
      </c>
      <c r="D874">
        <v>1700</v>
      </c>
    </row>
    <row r="875" spans="1:4" x14ac:dyDescent="0.25">
      <c r="A875" t="str">
        <f>T("   852390")</f>
        <v xml:space="preserve">   852390</v>
      </c>
      <c r="B875"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875">
        <v>1415424</v>
      </c>
      <c r="D875">
        <v>22</v>
      </c>
    </row>
    <row r="876" spans="1:4" x14ac:dyDescent="0.25">
      <c r="A876" t="str">
        <f>T("   852439")</f>
        <v xml:space="preserve">   852439</v>
      </c>
      <c r="B876"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876">
        <v>2560369</v>
      </c>
      <c r="D876">
        <v>1</v>
      </c>
    </row>
    <row r="877" spans="1:4" x14ac:dyDescent="0.25">
      <c r="A877" t="str">
        <f>T("   852510")</f>
        <v xml:space="preserve">   852510</v>
      </c>
      <c r="B877" t="str">
        <f>T("   Appareils d'émission, pour la radiotéléphonie, la radiotélégraphie, la radiodiffusion ou la télévision")</f>
        <v xml:space="preserve">   Appareils d'émission, pour la radiotéléphonie, la radiotélégraphie, la radiodiffusion ou la télévision</v>
      </c>
      <c r="C877">
        <v>72000</v>
      </c>
      <c r="D877">
        <v>1000</v>
      </c>
    </row>
    <row r="878" spans="1:4" x14ac:dyDescent="0.25">
      <c r="A878" t="str">
        <f>T("   852713")</f>
        <v xml:space="preserve">   852713</v>
      </c>
      <c r="B878"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878">
        <v>250577</v>
      </c>
      <c r="D878">
        <v>80</v>
      </c>
    </row>
    <row r="879" spans="1:4" x14ac:dyDescent="0.25">
      <c r="A879" t="str">
        <f>T("   852812")</f>
        <v xml:space="preserve">   852812</v>
      </c>
      <c r="B87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79">
        <v>2488428</v>
      </c>
      <c r="D879">
        <v>10895</v>
      </c>
    </row>
    <row r="880" spans="1:4" x14ac:dyDescent="0.25">
      <c r="A880" t="str">
        <f>T("   853080")</f>
        <v xml:space="preserve">   853080</v>
      </c>
      <c r="B880" t="str">
        <f>T("   Appareils électriques de signalisation (autres que pour la transmission de messages), de sécurité, de contrôle ou de commande (autres que pour voies ferrées ou simil. et que les appareils mécaniques ou électromécaniques du n° 8608)")</f>
        <v xml:space="preserve">   Appareils électriques de signalisation (autres que pour la transmission de messages), de sécurité, de contrôle ou de commande (autres que pour voies ferrées ou simil. et que les appareils mécaniques ou électromécaniques du n° 8608)</v>
      </c>
      <c r="C880">
        <v>467044</v>
      </c>
      <c r="D880">
        <v>120</v>
      </c>
    </row>
    <row r="881" spans="1:4" x14ac:dyDescent="0.25">
      <c r="A881" t="str">
        <f>T("   853180")</f>
        <v xml:space="preserve">   853180</v>
      </c>
      <c r="B881" t="s">
        <v>465</v>
      </c>
      <c r="C881">
        <v>14431</v>
      </c>
      <c r="D881">
        <v>1</v>
      </c>
    </row>
    <row r="882" spans="1:4" x14ac:dyDescent="0.25">
      <c r="A882" t="str">
        <f>T("   853610")</f>
        <v xml:space="preserve">   853610</v>
      </c>
      <c r="B882" t="str">
        <f>T("   Fusibles et coupe-circuit à fusibles, pour une tension &lt;= 1.000 V")</f>
        <v xml:space="preserve">   Fusibles et coupe-circuit à fusibles, pour une tension &lt;= 1.000 V</v>
      </c>
      <c r="C882">
        <v>20335</v>
      </c>
      <c r="D882">
        <v>1</v>
      </c>
    </row>
    <row r="883" spans="1:4" x14ac:dyDescent="0.25">
      <c r="A883" t="str">
        <f>T("   853641")</f>
        <v xml:space="preserve">   853641</v>
      </c>
      <c r="B883" t="str">
        <f>T("   Relais pour une tension &lt;= 60 V")</f>
        <v xml:space="preserve">   Relais pour une tension &lt;= 60 V</v>
      </c>
      <c r="C883">
        <v>196952</v>
      </c>
      <c r="D883">
        <v>3</v>
      </c>
    </row>
    <row r="884" spans="1:4" x14ac:dyDescent="0.25">
      <c r="A884" t="str">
        <f>T("   853649")</f>
        <v xml:space="preserve">   853649</v>
      </c>
      <c r="B884" t="str">
        <f>T("   Relais, pour une tension &gt; 60 V mais &lt;= 1.000 V")</f>
        <v xml:space="preserve">   Relais, pour une tension &gt; 60 V mais &lt;= 1.000 V</v>
      </c>
      <c r="C884">
        <v>474260</v>
      </c>
      <c r="D884">
        <v>9</v>
      </c>
    </row>
    <row r="885" spans="1:4" x14ac:dyDescent="0.25">
      <c r="A885" t="str">
        <f>T("   853650")</f>
        <v xml:space="preserve">   853650</v>
      </c>
      <c r="B885" t="str">
        <f>T("   Interrupteurs, sectionneurs et commutateurs, pour une tension &lt;= 1.000 V (autres que relais et disjoncteurs)")</f>
        <v xml:space="preserve">   Interrupteurs, sectionneurs et commutateurs, pour une tension &lt;= 1.000 V (autres que relais et disjoncteurs)</v>
      </c>
      <c r="C885">
        <v>2255763</v>
      </c>
      <c r="D885">
        <v>89.5</v>
      </c>
    </row>
    <row r="886" spans="1:4" x14ac:dyDescent="0.25">
      <c r="A886" t="str">
        <f>T("   853669")</f>
        <v xml:space="preserve">   853669</v>
      </c>
      <c r="B886" t="str">
        <f>T("   Fiches et prises de courant, pour une tension &lt;= 1.000 V (sauf douilles pour lampes)")</f>
        <v xml:space="preserve">   Fiches et prises de courant, pour une tension &lt;= 1.000 V (sauf douilles pour lampes)</v>
      </c>
      <c r="C886">
        <v>776002</v>
      </c>
      <c r="D886">
        <v>2520.5</v>
      </c>
    </row>
    <row r="887" spans="1:4" x14ac:dyDescent="0.25">
      <c r="A887" t="str">
        <f>T("   853690")</f>
        <v xml:space="preserve">   853690</v>
      </c>
      <c r="B887" t="s">
        <v>467</v>
      </c>
      <c r="C887">
        <v>815674</v>
      </c>
      <c r="D887">
        <v>16.5</v>
      </c>
    </row>
    <row r="888" spans="1:4" x14ac:dyDescent="0.25">
      <c r="A888" t="str">
        <f>T("   853710")</f>
        <v xml:space="preserve">   853710</v>
      </c>
      <c r="B888"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888">
        <v>31713968</v>
      </c>
      <c r="D888">
        <v>2000</v>
      </c>
    </row>
    <row r="889" spans="1:4" x14ac:dyDescent="0.25">
      <c r="A889" t="str">
        <f>T("   853720")</f>
        <v xml:space="preserve">   853720</v>
      </c>
      <c r="B889"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889">
        <v>6631099</v>
      </c>
      <c r="D889">
        <v>196</v>
      </c>
    </row>
    <row r="890" spans="1:4" x14ac:dyDescent="0.25">
      <c r="A890" t="str">
        <f>T("   853939")</f>
        <v xml:space="preserve">   853939</v>
      </c>
      <c r="B890"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890">
        <v>50509</v>
      </c>
      <c r="D890">
        <v>3</v>
      </c>
    </row>
    <row r="891" spans="1:4" x14ac:dyDescent="0.25">
      <c r="A891" t="str">
        <f>T("   854110")</f>
        <v xml:space="preserve">   854110</v>
      </c>
      <c r="B891" t="str">
        <f>T("   Diodes (sauf photodiodes et diodes émettrices de lumière)")</f>
        <v xml:space="preserve">   Diodes (sauf photodiodes et diodes émettrices de lumière)</v>
      </c>
      <c r="C891">
        <v>10617986</v>
      </c>
      <c r="D891">
        <v>660</v>
      </c>
    </row>
    <row r="892" spans="1:4" x14ac:dyDescent="0.25">
      <c r="A892" t="str">
        <f>T("   854420")</f>
        <v xml:space="preserve">   854420</v>
      </c>
      <c r="B892" t="str">
        <f>T("   Câbles coaxiaux et autres conducteurs électriques coaxiaux, isolés")</f>
        <v xml:space="preserve">   Câbles coaxiaux et autres conducteurs électriques coaxiaux, isolés</v>
      </c>
      <c r="C892">
        <v>505745</v>
      </c>
      <c r="D892">
        <v>2701</v>
      </c>
    </row>
    <row r="893" spans="1:4" x14ac:dyDescent="0.25">
      <c r="A893" t="str">
        <f>T("   854449")</f>
        <v xml:space="preserve">   854449</v>
      </c>
      <c r="B893" t="str">
        <f>T("   CONDUCTEURS ÉLECTRIQUES, POUR TENSION &lt;= 1.000 V, ISOLÉS, SANS PIÈCES DE CONNEXION, N.D.A.")</f>
        <v xml:space="preserve">   CONDUCTEURS ÉLECTRIQUES, POUR TENSION &lt;= 1.000 V, ISOLÉS, SANS PIÈCES DE CONNEXION, N.D.A.</v>
      </c>
      <c r="C893">
        <v>14599920</v>
      </c>
      <c r="D893">
        <v>920</v>
      </c>
    </row>
    <row r="894" spans="1:4" x14ac:dyDescent="0.25">
      <c r="A894" t="str">
        <f>T("   854459")</f>
        <v xml:space="preserve">   854459</v>
      </c>
      <c r="B894" t="str">
        <f>T("   Conducteurs électriques, pour tension &gt; 80 V mais &lt;= 1.000 V, sans pièces de connexion, n.d.a.")</f>
        <v xml:space="preserve">   Conducteurs électriques, pour tension &gt; 80 V mais &lt;= 1.000 V, sans pièces de connexion, n.d.a.</v>
      </c>
      <c r="C894">
        <v>30830</v>
      </c>
      <c r="D894">
        <v>1</v>
      </c>
    </row>
    <row r="895" spans="1:4" x14ac:dyDescent="0.25">
      <c r="A895" t="str">
        <f>T("   854460")</f>
        <v xml:space="preserve">   854460</v>
      </c>
      <c r="B895" t="str">
        <f>T("   Conducteurs électriques, pour tension &gt; 1.000 V, n.d.a.")</f>
        <v xml:space="preserve">   Conducteurs électriques, pour tension &gt; 1.000 V, n.d.a.</v>
      </c>
      <c r="C895">
        <v>134625</v>
      </c>
      <c r="D895">
        <v>4</v>
      </c>
    </row>
    <row r="896" spans="1:4" x14ac:dyDescent="0.25">
      <c r="A896" t="str">
        <f>T("   860729")</f>
        <v xml:space="preserve">   860729</v>
      </c>
      <c r="B896" t="str">
        <f>T("   Freins (autres qu'à air comprimé), de véhicules pour voies ferrées ou simil., leurs parties, n.d.a.")</f>
        <v xml:space="preserve">   Freins (autres qu'à air comprimé), de véhicules pour voies ferrées ou simil., leurs parties, n.d.a.</v>
      </c>
      <c r="C896">
        <v>5000</v>
      </c>
      <c r="D896">
        <v>425</v>
      </c>
    </row>
    <row r="897" spans="1:4" x14ac:dyDescent="0.25">
      <c r="A897" t="str">
        <f>T("   870120")</f>
        <v xml:space="preserve">   870120</v>
      </c>
      <c r="B897" t="str">
        <f>T("   Tracteurs routiers pour semi-remorques")</f>
        <v xml:space="preserve">   Tracteurs routiers pour semi-remorques</v>
      </c>
      <c r="C897">
        <v>218486701</v>
      </c>
      <c r="D897">
        <v>539667</v>
      </c>
    </row>
    <row r="898" spans="1:4" x14ac:dyDescent="0.25">
      <c r="A898" t="str">
        <f>T("   870190")</f>
        <v xml:space="preserve">   870190</v>
      </c>
      <c r="B898"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898">
        <v>7781653</v>
      </c>
      <c r="D898">
        <v>25800</v>
      </c>
    </row>
    <row r="899" spans="1:4" x14ac:dyDescent="0.25">
      <c r="A899" t="str">
        <f>T("   870210")</f>
        <v xml:space="preserve">   870210</v>
      </c>
      <c r="B899" t="s">
        <v>469</v>
      </c>
      <c r="C899">
        <v>271624908</v>
      </c>
      <c r="D899">
        <v>91415</v>
      </c>
    </row>
    <row r="900" spans="1:4" x14ac:dyDescent="0.25">
      <c r="A900" t="str">
        <f>T("   870290")</f>
        <v xml:space="preserve">   870290</v>
      </c>
      <c r="B900" t="s">
        <v>470</v>
      </c>
      <c r="C900">
        <v>94022368</v>
      </c>
      <c r="D900">
        <v>125483</v>
      </c>
    </row>
    <row r="901" spans="1:4" x14ac:dyDescent="0.25">
      <c r="A901" t="str">
        <f>T("   870322")</f>
        <v xml:space="preserve">   870322</v>
      </c>
      <c r="B901" t="s">
        <v>472</v>
      </c>
      <c r="C901">
        <v>1888608015</v>
      </c>
      <c r="D901">
        <v>1344940</v>
      </c>
    </row>
    <row r="902" spans="1:4" x14ac:dyDescent="0.25">
      <c r="A902" t="str">
        <f>T("   870323")</f>
        <v xml:space="preserve">   870323</v>
      </c>
      <c r="B902" t="s">
        <v>473</v>
      </c>
      <c r="C902">
        <v>699754278</v>
      </c>
      <c r="D902">
        <v>142116</v>
      </c>
    </row>
    <row r="903" spans="1:4" x14ac:dyDescent="0.25">
      <c r="A903" t="str">
        <f>T("   870324")</f>
        <v xml:space="preserve">   870324</v>
      </c>
      <c r="B903" t="s">
        <v>474</v>
      </c>
      <c r="C903">
        <v>36823400</v>
      </c>
      <c r="D903">
        <v>4785</v>
      </c>
    </row>
    <row r="904" spans="1:4" x14ac:dyDescent="0.25">
      <c r="A904" t="str">
        <f>T("   870331")</f>
        <v xml:space="preserve">   870331</v>
      </c>
      <c r="B904" t="s">
        <v>475</v>
      </c>
      <c r="C904">
        <v>40039833</v>
      </c>
      <c r="D904">
        <v>5780</v>
      </c>
    </row>
    <row r="905" spans="1:4" x14ac:dyDescent="0.25">
      <c r="A905" t="str">
        <f>T("   870332")</f>
        <v xml:space="preserve">   870332</v>
      </c>
      <c r="B905" t="s">
        <v>476</v>
      </c>
      <c r="C905">
        <v>59224727</v>
      </c>
      <c r="D905">
        <v>6937</v>
      </c>
    </row>
    <row r="906" spans="1:4" x14ac:dyDescent="0.25">
      <c r="A906" t="str">
        <f>T("   870333")</f>
        <v xml:space="preserve">   870333</v>
      </c>
      <c r="B906" t="s">
        <v>477</v>
      </c>
      <c r="C906">
        <v>980151044</v>
      </c>
      <c r="D906">
        <v>107788</v>
      </c>
    </row>
    <row r="907" spans="1:4" x14ac:dyDescent="0.25">
      <c r="A907" t="str">
        <f>T("   870390")</f>
        <v xml:space="preserve">   870390</v>
      </c>
      <c r="B907" t="str">
        <f>T("   Voitures de tourisme et autres véhicules principalement conçus pour le transport de personnes, y.c. les voitures du type 'break' et les voitures de course (sauf véhicules pour se déplacer sur la neige et autres véhicules spéciaux du n° 8703.10)")</f>
        <v xml:space="preserve">   Voitures de tourisme et autres véhicules principalement conçus pour le transport de personnes, y.c. les voitures du type 'break' et les voitures de course (sauf véhicules pour se déplacer sur la neige et autres véhicules spéciaux du n° 8703.10)</v>
      </c>
      <c r="C907">
        <v>5575660</v>
      </c>
      <c r="D907">
        <v>1115</v>
      </c>
    </row>
    <row r="908" spans="1:4" x14ac:dyDescent="0.25">
      <c r="A908" t="str">
        <f>T("   870410")</f>
        <v xml:space="preserve">   870410</v>
      </c>
      <c r="B908" t="str">
        <f>T("   Tombereaux automoteurs utilisés en dehors du réseau routier")</f>
        <v xml:space="preserve">   Tombereaux automoteurs utilisés en dehors du réseau routier</v>
      </c>
      <c r="C908">
        <v>37695470</v>
      </c>
      <c r="D908">
        <v>1500</v>
      </c>
    </row>
    <row r="909" spans="1:4" x14ac:dyDescent="0.25">
      <c r="A909" t="str">
        <f>T("   870421")</f>
        <v xml:space="preserve">   870421</v>
      </c>
      <c r="B909" t="s">
        <v>478</v>
      </c>
      <c r="C909">
        <v>1317377916</v>
      </c>
      <c r="D909">
        <v>414647</v>
      </c>
    </row>
    <row r="910" spans="1:4" x14ac:dyDescent="0.25">
      <c r="A910" t="str">
        <f>T("   870422")</f>
        <v xml:space="preserve">   870422</v>
      </c>
      <c r="B910" t="s">
        <v>479</v>
      </c>
      <c r="C910">
        <v>195460304</v>
      </c>
      <c r="D910">
        <v>244800</v>
      </c>
    </row>
    <row r="911" spans="1:4" x14ac:dyDescent="0.25">
      <c r="A911" t="str">
        <f>T("   870423")</f>
        <v xml:space="preserve">   870423</v>
      </c>
      <c r="B911" t="s">
        <v>480</v>
      </c>
      <c r="C911">
        <v>4754807</v>
      </c>
      <c r="D911">
        <v>15450</v>
      </c>
    </row>
    <row r="912" spans="1:4" x14ac:dyDescent="0.25">
      <c r="A912" t="str">
        <f>T("   870431")</f>
        <v xml:space="preserve">   870431</v>
      </c>
      <c r="B912" t="s">
        <v>481</v>
      </c>
      <c r="C912">
        <v>83198247</v>
      </c>
      <c r="D912">
        <v>50560</v>
      </c>
    </row>
    <row r="913" spans="1:4" x14ac:dyDescent="0.25">
      <c r="A913" t="str">
        <f>T("   870490")</f>
        <v xml:space="preserve">   870490</v>
      </c>
      <c r="B913"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913">
        <v>2000000</v>
      </c>
      <c r="D913">
        <v>9900</v>
      </c>
    </row>
    <row r="914" spans="1:4" x14ac:dyDescent="0.25">
      <c r="A914" t="str">
        <f>T("   870510")</f>
        <v xml:space="preserve">   870510</v>
      </c>
      <c r="B914" t="str">
        <f>T("   Camions-grues (sauf dépanneuses)")</f>
        <v xml:space="preserve">   Camions-grues (sauf dépanneuses)</v>
      </c>
      <c r="C914">
        <v>20766549</v>
      </c>
      <c r="D914">
        <v>10800</v>
      </c>
    </row>
    <row r="915" spans="1:4" x14ac:dyDescent="0.25">
      <c r="A915" t="str">
        <f>T("   870810")</f>
        <v xml:space="preserve">   870810</v>
      </c>
      <c r="B915"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915">
        <v>57522</v>
      </c>
      <c r="D915">
        <v>17</v>
      </c>
    </row>
    <row r="916" spans="1:4" x14ac:dyDescent="0.25">
      <c r="A916" t="str">
        <f>T("   870829")</f>
        <v xml:space="preserve">   870829</v>
      </c>
      <c r="B916" t="s">
        <v>485</v>
      </c>
      <c r="C916">
        <v>1659847</v>
      </c>
      <c r="D916">
        <v>1045</v>
      </c>
    </row>
    <row r="917" spans="1:4" x14ac:dyDescent="0.25">
      <c r="A917" t="str">
        <f>T("   870899")</f>
        <v xml:space="preserve">   870899</v>
      </c>
      <c r="B917"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917">
        <v>117106993</v>
      </c>
      <c r="D917">
        <v>30329</v>
      </c>
    </row>
    <row r="918" spans="1:4" x14ac:dyDescent="0.25">
      <c r="A918" t="str">
        <f>T("   870990")</f>
        <v xml:space="preserve">   870990</v>
      </c>
      <c r="B918" t="str">
        <f>T("   Parties de chariots automobiles non munis d'un dispositif de levage, des types utilisés pour le transport des marchandises sur de courtes distances, y.c. les chariots-tracteurs des types utilisés dans les gares, n.d.a.")</f>
        <v xml:space="preserve">   Parties de chariots automobiles non munis d'un dispositif de levage, des types utilisés pour le transport des marchandises sur de courtes distances, y.c. les chariots-tracteurs des types utilisés dans les gares, n.d.a.</v>
      </c>
      <c r="C918">
        <v>2719611</v>
      </c>
      <c r="D918">
        <v>103</v>
      </c>
    </row>
    <row r="919" spans="1:4" x14ac:dyDescent="0.25">
      <c r="A919" t="str">
        <f>T("   871110")</f>
        <v xml:space="preserve">   871110</v>
      </c>
      <c r="B919" t="str">
        <f>T("   Cyclomoteurs, à moteur à piston alternatif, cylindrée &lt;= 50 cm³, y.c. cycles à moteur auxiliaire")</f>
        <v xml:space="preserve">   Cyclomoteurs, à moteur à piston alternatif, cylindrée &lt;= 50 cm³, y.c. cycles à moteur auxiliaire</v>
      </c>
      <c r="C919">
        <v>100000</v>
      </c>
      <c r="D919">
        <v>200</v>
      </c>
    </row>
    <row r="920" spans="1:4" x14ac:dyDescent="0.25">
      <c r="A920" t="str">
        <f>T("   871120")</f>
        <v xml:space="preserve">   871120</v>
      </c>
      <c r="B920" t="str">
        <f>T("   Motocycles à moteur à piston alternatif, cylindrée &gt; 50 cm³ mais &lt;= 250 cm³")</f>
        <v xml:space="preserve">   Motocycles à moteur à piston alternatif, cylindrée &gt; 50 cm³ mais &lt;= 250 cm³</v>
      </c>
      <c r="C920">
        <v>425000</v>
      </c>
      <c r="D920">
        <v>380</v>
      </c>
    </row>
    <row r="921" spans="1:4" x14ac:dyDescent="0.25">
      <c r="A921" t="str">
        <f>T("   871200")</f>
        <v xml:space="preserve">   871200</v>
      </c>
      <c r="B921" t="str">
        <f>T("   BICYCLETTES ET AUTRES CYCLES, -Y.C. LES TRIPORTEURS-, SANS MOTEUR")</f>
        <v xml:space="preserve">   BICYCLETTES ET AUTRES CYCLES, -Y.C. LES TRIPORTEURS-, SANS MOTEUR</v>
      </c>
      <c r="C921">
        <v>1573647</v>
      </c>
      <c r="D921">
        <v>5485</v>
      </c>
    </row>
    <row r="922" spans="1:4" x14ac:dyDescent="0.25">
      <c r="A922" t="str">
        <f>T("   871411")</f>
        <v xml:space="preserve">   871411</v>
      </c>
      <c r="B922" t="str">
        <f>T("   Selles de motocycles, y.c. de cyclomoteurs")</f>
        <v xml:space="preserve">   Selles de motocycles, y.c. de cyclomoteurs</v>
      </c>
      <c r="C922">
        <v>100000</v>
      </c>
      <c r="D922">
        <v>50</v>
      </c>
    </row>
    <row r="923" spans="1:4" x14ac:dyDescent="0.25">
      <c r="A923" t="str">
        <f>T("   871499")</f>
        <v xml:space="preserve">   871499</v>
      </c>
      <c r="B923" t="str">
        <f>T("   Parties et accessoires, de bicyclettes, n.d.a.")</f>
        <v xml:space="preserve">   Parties et accessoires, de bicyclettes, n.d.a.</v>
      </c>
      <c r="C923">
        <v>100000</v>
      </c>
      <c r="D923">
        <v>500</v>
      </c>
    </row>
    <row r="924" spans="1:4" x14ac:dyDescent="0.25">
      <c r="A924" t="str">
        <f>T("   871610")</f>
        <v xml:space="preserve">   871610</v>
      </c>
      <c r="B924" t="str">
        <f>T("   Remorques et semi-remorques pour l'habitation ou le camping, du type caravane")</f>
        <v xml:space="preserve">   Remorques et semi-remorques pour l'habitation ou le camping, du type caravane</v>
      </c>
      <c r="C924">
        <v>2539200</v>
      </c>
      <c r="D924">
        <v>5000</v>
      </c>
    </row>
    <row r="925" spans="1:4" x14ac:dyDescent="0.25">
      <c r="A925" t="str">
        <f>T("   871620")</f>
        <v xml:space="preserve">   871620</v>
      </c>
      <c r="B925" t="str">
        <f>T("   Remorques et semi-remorques autochargeuses ou autodéchargeuses, pour usages agricoles")</f>
        <v xml:space="preserve">   Remorques et semi-remorques autochargeuses ou autodéchargeuses, pour usages agricoles</v>
      </c>
      <c r="C925">
        <v>2000000</v>
      </c>
      <c r="D925">
        <v>2000</v>
      </c>
    </row>
    <row r="926" spans="1:4" x14ac:dyDescent="0.25">
      <c r="A926" t="str">
        <f>T("   871631")</f>
        <v xml:space="preserve">   871631</v>
      </c>
      <c r="B926" t="str">
        <f>T("   Remorques-citernes ne circulant pas sur rails")</f>
        <v xml:space="preserve">   Remorques-citernes ne circulant pas sur rails</v>
      </c>
      <c r="C926">
        <v>19635507</v>
      </c>
      <c r="D926">
        <v>2820</v>
      </c>
    </row>
    <row r="927" spans="1:4" x14ac:dyDescent="0.25">
      <c r="A927" t="str">
        <f>T("   871640")</f>
        <v xml:space="preserve">   871640</v>
      </c>
      <c r="B927"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927">
        <v>85324770</v>
      </c>
      <c r="D927">
        <v>199325</v>
      </c>
    </row>
    <row r="928" spans="1:4" x14ac:dyDescent="0.25">
      <c r="A928" t="str">
        <f>T("   890399")</f>
        <v xml:space="preserve">   890399</v>
      </c>
      <c r="B928"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928">
        <v>524768</v>
      </c>
      <c r="D928">
        <v>2000</v>
      </c>
    </row>
    <row r="929" spans="1:4" x14ac:dyDescent="0.25">
      <c r="A929" t="str">
        <f>T("   890590")</f>
        <v xml:space="preserve">   890590</v>
      </c>
      <c r="B929" t="s">
        <v>489</v>
      </c>
      <c r="C929">
        <v>11807280</v>
      </c>
      <c r="D929">
        <v>8000</v>
      </c>
    </row>
    <row r="930" spans="1:4" x14ac:dyDescent="0.25">
      <c r="A930" t="str">
        <f>T("   900490")</f>
        <v xml:space="preserve">   900490</v>
      </c>
      <c r="B930"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930">
        <v>1198375</v>
      </c>
      <c r="D930">
        <v>100</v>
      </c>
    </row>
    <row r="931" spans="1:4" x14ac:dyDescent="0.25">
      <c r="A931" t="str">
        <f>T("   900640")</f>
        <v xml:space="preserve">   900640</v>
      </c>
      <c r="B931" t="str">
        <f>T("   Appareils photographiques à développement et tirage instantanés (à l'excl. des appareils photographiques pour usages spéciaux dus n° 9006.10, 9006.20 ou 9006.30)")</f>
        <v xml:space="preserve">   Appareils photographiques à développement et tirage instantanés (à l'excl. des appareils photographiques pour usages spéciaux dus n° 9006.10, 9006.20 ou 9006.30)</v>
      </c>
      <c r="C931">
        <v>2135150</v>
      </c>
      <c r="D931">
        <v>2000</v>
      </c>
    </row>
    <row r="932" spans="1:4" x14ac:dyDescent="0.25">
      <c r="A932" t="str">
        <f>T("   900659")</f>
        <v xml:space="preserve">   900659</v>
      </c>
      <c r="B932" t="s">
        <v>490</v>
      </c>
      <c r="C932">
        <v>875707</v>
      </c>
      <c r="D932">
        <v>1202</v>
      </c>
    </row>
    <row r="933" spans="1:4" x14ac:dyDescent="0.25">
      <c r="A933" t="str">
        <f>T("   900661")</f>
        <v xml:space="preserve">   900661</v>
      </c>
      <c r="B933" t="str">
        <f>T("   Appareils à tube à décharge pour la production de la lumière-éclair, dits 'flashes électroniques'")</f>
        <v xml:space="preserve">   Appareils à tube à décharge pour la production de la lumière-éclair, dits 'flashes électroniques'</v>
      </c>
      <c r="C933">
        <v>202036</v>
      </c>
      <c r="D933">
        <v>900</v>
      </c>
    </row>
    <row r="934" spans="1:4" x14ac:dyDescent="0.25">
      <c r="A934" t="str">
        <f>T("   900691")</f>
        <v xml:space="preserve">   900691</v>
      </c>
      <c r="B934" t="str">
        <f>T("   Parties et accessoires d'appareils photographiques, n.d.a.")</f>
        <v xml:space="preserve">   Parties et accessoires d'appareils photographiques, n.d.a.</v>
      </c>
      <c r="C934">
        <v>1003743</v>
      </c>
      <c r="D934">
        <v>247</v>
      </c>
    </row>
    <row r="935" spans="1:4" x14ac:dyDescent="0.25">
      <c r="A935" t="str">
        <f>T("   900911")</f>
        <v xml:space="preserve">   900911</v>
      </c>
      <c r="B935"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935">
        <v>102985</v>
      </c>
      <c r="D935">
        <v>50</v>
      </c>
    </row>
    <row r="936" spans="1:4" x14ac:dyDescent="0.25">
      <c r="A936" t="str">
        <f>T("   901090")</f>
        <v xml:space="preserve">   901090</v>
      </c>
      <c r="B936" t="str">
        <f>T("   Parties et accessoires des appareils et du matériel pour laboratoires photographiques ou cinématographiques, des négatoscopes et des écrans pour projections")</f>
        <v xml:space="preserve">   Parties et accessoires des appareils et du matériel pour laboratoires photographiques ou cinématographiques, des négatoscopes et des écrans pour projections</v>
      </c>
      <c r="C936">
        <v>680678</v>
      </c>
      <c r="D936">
        <v>1700</v>
      </c>
    </row>
    <row r="937" spans="1:4" x14ac:dyDescent="0.25">
      <c r="A937" t="str">
        <f>T("   901530")</f>
        <v xml:space="preserve">   901530</v>
      </c>
      <c r="B937" t="str">
        <f>T("   Niveaux")</f>
        <v xml:space="preserve">   Niveaux</v>
      </c>
      <c r="C937">
        <v>78059</v>
      </c>
      <c r="D937">
        <v>750</v>
      </c>
    </row>
    <row r="938" spans="1:4" x14ac:dyDescent="0.25">
      <c r="A938" t="str">
        <f>T("   901580")</f>
        <v xml:space="preserve">   901580</v>
      </c>
      <c r="B938" t="s">
        <v>493</v>
      </c>
      <c r="C938">
        <v>382847</v>
      </c>
      <c r="D938">
        <v>9</v>
      </c>
    </row>
    <row r="939" spans="1:4" x14ac:dyDescent="0.25">
      <c r="A939" t="str">
        <f>T("   901600")</f>
        <v xml:space="preserve">   901600</v>
      </c>
      <c r="B939" t="str">
        <f>T("   Balances sensibles à un poids de 5 cg ou moins, avec ou sans poids")</f>
        <v xml:space="preserve">   Balances sensibles à un poids de 5 cg ou moins, avec ou sans poids</v>
      </c>
      <c r="C939">
        <v>207939</v>
      </c>
      <c r="D939">
        <v>20</v>
      </c>
    </row>
    <row r="940" spans="1:4" x14ac:dyDescent="0.25">
      <c r="A940" t="str">
        <f>T("   901890")</f>
        <v xml:space="preserve">   901890</v>
      </c>
      <c r="B940" t="str">
        <f>T("   Instruments et appareils pour la médecine, la chirurgie ou l'art vétérinaire, n.d.a.")</f>
        <v xml:space="preserve">   Instruments et appareils pour la médecine, la chirurgie ou l'art vétérinaire, n.d.a.</v>
      </c>
      <c r="C940">
        <v>15099502</v>
      </c>
      <c r="D940">
        <v>3064</v>
      </c>
    </row>
    <row r="941" spans="1:4" x14ac:dyDescent="0.25">
      <c r="A941" t="str">
        <f>T("   902214")</f>
        <v xml:space="preserve">   902214</v>
      </c>
      <c r="B941"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941">
        <v>4500541</v>
      </c>
      <c r="D941">
        <v>4102</v>
      </c>
    </row>
    <row r="942" spans="1:4" x14ac:dyDescent="0.25">
      <c r="A942" t="str">
        <f>T("   902219")</f>
        <v xml:space="preserve">   902219</v>
      </c>
      <c r="B942" t="str">
        <f>T("   Appareils à rayons X (à usage autre que médical, chirurgical, dentaire ou vétérinaire)")</f>
        <v xml:space="preserve">   Appareils à rayons X (à usage autre que médical, chirurgical, dentaire ou vétérinaire)</v>
      </c>
      <c r="C942">
        <v>717108</v>
      </c>
      <c r="D942">
        <v>780</v>
      </c>
    </row>
    <row r="943" spans="1:4" x14ac:dyDescent="0.25">
      <c r="A943" t="str">
        <f>T("   902221")</f>
        <v xml:space="preserve">   902221</v>
      </c>
      <c r="B943" t="str">
        <f>T("   Appareils utilisant les radiations alpha, bêta ou gamma, à usage médical, chirurgical, dentaire ou vétérinaire")</f>
        <v xml:space="preserve">   Appareils utilisant les radiations alpha, bêta ou gamma, à usage médical, chirurgical, dentaire ou vétérinaire</v>
      </c>
      <c r="C943">
        <v>1000000</v>
      </c>
      <c r="D943">
        <v>1750</v>
      </c>
    </row>
    <row r="944" spans="1:4" x14ac:dyDescent="0.25">
      <c r="A944" t="str">
        <f>T("   902511")</f>
        <v xml:space="preserve">   902511</v>
      </c>
      <c r="B944" t="str">
        <f>T("   THERMOMÈTRES À LIQUIDE, À LECTURE DIRECTE, NON-COMBINÉS À D'AUTRES INSTRUMENTS")</f>
        <v xml:space="preserve">   THERMOMÈTRES À LIQUIDE, À LECTURE DIRECTE, NON-COMBINÉS À D'AUTRES INSTRUMENTS</v>
      </c>
      <c r="C944">
        <v>541823</v>
      </c>
      <c r="D944">
        <v>5</v>
      </c>
    </row>
    <row r="945" spans="1:4" x14ac:dyDescent="0.25">
      <c r="A945" t="str">
        <f>T("   902519")</f>
        <v xml:space="preserve">   902519</v>
      </c>
      <c r="B945"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945">
        <v>352251</v>
      </c>
      <c r="D945">
        <v>1</v>
      </c>
    </row>
    <row r="946" spans="1:4" x14ac:dyDescent="0.25">
      <c r="A946" t="str">
        <f>T("   902610")</f>
        <v xml:space="preserve">   902610</v>
      </c>
      <c r="B946"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946">
        <v>327980</v>
      </c>
      <c r="D946">
        <v>150</v>
      </c>
    </row>
    <row r="947" spans="1:4" x14ac:dyDescent="0.25">
      <c r="A947" t="str">
        <f>T("   902620")</f>
        <v xml:space="preserve">   902620</v>
      </c>
      <c r="B947"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947">
        <v>1192535</v>
      </c>
      <c r="D947">
        <v>4</v>
      </c>
    </row>
    <row r="948" spans="1:4" x14ac:dyDescent="0.25">
      <c r="A948" t="str">
        <f>T("   902780")</f>
        <v xml:space="preserve">   902780</v>
      </c>
      <c r="B948"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948">
        <v>825440</v>
      </c>
      <c r="D948">
        <v>150</v>
      </c>
    </row>
    <row r="949" spans="1:4" x14ac:dyDescent="0.25">
      <c r="A949" t="str">
        <f>T("   902790")</f>
        <v xml:space="preserve">   902790</v>
      </c>
      <c r="B949" t="s">
        <v>499</v>
      </c>
      <c r="C949">
        <v>388158</v>
      </c>
      <c r="D949">
        <v>1</v>
      </c>
    </row>
    <row r="950" spans="1:4" x14ac:dyDescent="0.25">
      <c r="A950" t="str">
        <f>T("   902820")</f>
        <v xml:space="preserve">   902820</v>
      </c>
      <c r="B950" t="str">
        <f>T("   Compteurs de liquides, y.c. les compteurs pour leur étalonnage")</f>
        <v xml:space="preserve">   Compteurs de liquides, y.c. les compteurs pour leur étalonnage</v>
      </c>
      <c r="C950">
        <v>680422</v>
      </c>
      <c r="D950">
        <v>100</v>
      </c>
    </row>
    <row r="951" spans="1:4" x14ac:dyDescent="0.25">
      <c r="A951" t="str">
        <f>T("   902910")</f>
        <v xml:space="preserve">   902910</v>
      </c>
      <c r="B951"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951">
        <v>731396</v>
      </c>
      <c r="D951">
        <v>26</v>
      </c>
    </row>
    <row r="952" spans="1:4" x14ac:dyDescent="0.25">
      <c r="A952" t="str">
        <f>T("   903031")</f>
        <v xml:space="preserve">   903031</v>
      </c>
      <c r="B952" t="str">
        <f>T("   Multimètres pour la mesure de la tension, de l'intensité, de la résistance ou de la puissance, sans dispositif enregistreur")</f>
        <v xml:space="preserve">   Multimètres pour la mesure de la tension, de l'intensité, de la résistance ou de la puissance, sans dispositif enregistreur</v>
      </c>
      <c r="C952">
        <v>2322518</v>
      </c>
      <c r="D952">
        <v>786</v>
      </c>
    </row>
    <row r="953" spans="1:4" x14ac:dyDescent="0.25">
      <c r="A953" t="str">
        <f>T("   903110")</f>
        <v xml:space="preserve">   903110</v>
      </c>
      <c r="B953" t="str">
        <f>T("   Machines à équilibrer les pièces mécaniques")</f>
        <v xml:space="preserve">   Machines à équilibrer les pièces mécaniques</v>
      </c>
      <c r="C953">
        <v>250000</v>
      </c>
      <c r="D953">
        <v>60</v>
      </c>
    </row>
    <row r="954" spans="1:4" x14ac:dyDescent="0.25">
      <c r="A954" t="str">
        <f>T("   903220")</f>
        <v xml:space="preserve">   903220</v>
      </c>
      <c r="B954" t="str">
        <f>T("   Manostats [pressostats] (sauf les articles de robinetterie du n° 8481)")</f>
        <v xml:space="preserve">   Manostats [pressostats] (sauf les articles de robinetterie du n° 8481)</v>
      </c>
      <c r="C954">
        <v>2959047</v>
      </c>
      <c r="D954">
        <v>313</v>
      </c>
    </row>
    <row r="955" spans="1:4" x14ac:dyDescent="0.25">
      <c r="A955" t="str">
        <f>T("   903289")</f>
        <v xml:space="preserve">   903289</v>
      </c>
      <c r="B955" t="s">
        <v>501</v>
      </c>
      <c r="C955">
        <v>8583236</v>
      </c>
      <c r="D955">
        <v>36.1</v>
      </c>
    </row>
    <row r="956" spans="1:4" x14ac:dyDescent="0.25">
      <c r="A956" t="str">
        <f>T("   903290")</f>
        <v xml:space="preserve">   903290</v>
      </c>
      <c r="B956" t="str">
        <f>T("   Parties et accessoires des instruments et appareils pour la régulation ou le contrôle automatiques, n.d.a.")</f>
        <v xml:space="preserve">   Parties et accessoires des instruments et appareils pour la régulation ou le contrôle automatiques, n.d.a.</v>
      </c>
      <c r="C956">
        <v>4188837</v>
      </c>
      <c r="D956">
        <v>16</v>
      </c>
    </row>
    <row r="957" spans="1:4" x14ac:dyDescent="0.25">
      <c r="A957" t="str">
        <f>T("   920290")</f>
        <v xml:space="preserve">   920290</v>
      </c>
      <c r="B957" t="str">
        <f>T("   Guitares, harpes et autres instruments de musique à cordes (autres qu'à clavier et à cordes frottées)")</f>
        <v xml:space="preserve">   Guitares, harpes et autres instruments de musique à cordes (autres qu'à clavier et à cordes frottées)</v>
      </c>
      <c r="C957">
        <v>22672</v>
      </c>
      <c r="D957">
        <v>10</v>
      </c>
    </row>
    <row r="958" spans="1:4" x14ac:dyDescent="0.25">
      <c r="A958" t="str">
        <f>T("   940130")</f>
        <v xml:space="preserve">   940130</v>
      </c>
      <c r="B958"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958">
        <v>479350</v>
      </c>
      <c r="D958">
        <v>50</v>
      </c>
    </row>
    <row r="959" spans="1:4" x14ac:dyDescent="0.25">
      <c r="A959" t="str">
        <f>T("   940161")</f>
        <v xml:space="preserve">   940161</v>
      </c>
      <c r="B959" t="str">
        <f>T("   Sièges, avec bâti en bois, rembourrés (non transformables en lits)")</f>
        <v xml:space="preserve">   Sièges, avec bâti en bois, rembourrés (non transformables en lits)</v>
      </c>
      <c r="C959">
        <v>1098077</v>
      </c>
      <c r="D959">
        <v>678</v>
      </c>
    </row>
    <row r="960" spans="1:4" x14ac:dyDescent="0.25">
      <c r="A960" t="str">
        <f>T("   940180")</f>
        <v xml:space="preserve">   940180</v>
      </c>
      <c r="B960" t="str">
        <f>T("   Sièges, n.d.a.")</f>
        <v xml:space="preserve">   Sièges, n.d.a.</v>
      </c>
      <c r="C960">
        <v>8917580</v>
      </c>
      <c r="D960">
        <v>727</v>
      </c>
    </row>
    <row r="961" spans="1:4" x14ac:dyDescent="0.25">
      <c r="A961" t="str">
        <f>T("   940190")</f>
        <v xml:space="preserve">   940190</v>
      </c>
      <c r="B961" t="str">
        <f>T("   Parties de sièges, n.d.a.")</f>
        <v xml:space="preserve">   Parties de sièges, n.d.a.</v>
      </c>
      <c r="C961">
        <v>1093538</v>
      </c>
      <c r="D961">
        <v>86</v>
      </c>
    </row>
    <row r="962" spans="1:4" x14ac:dyDescent="0.25">
      <c r="A962" t="str">
        <f>T("   940210")</f>
        <v xml:space="preserve">   940210</v>
      </c>
      <c r="B962"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962">
        <v>23488</v>
      </c>
      <c r="D962">
        <v>50</v>
      </c>
    </row>
    <row r="963" spans="1:4" x14ac:dyDescent="0.25">
      <c r="A963" t="str">
        <f>T("   940290")</f>
        <v xml:space="preserve">   940290</v>
      </c>
      <c r="B963"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963">
        <v>4090071</v>
      </c>
      <c r="D963">
        <v>9463</v>
      </c>
    </row>
    <row r="964" spans="1:4" x14ac:dyDescent="0.25">
      <c r="A964" t="str">
        <f>T("   940320")</f>
        <v xml:space="preserve">   940320</v>
      </c>
      <c r="B964"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964">
        <v>3500000</v>
      </c>
      <c r="D964">
        <v>11060</v>
      </c>
    </row>
    <row r="965" spans="1:4" x14ac:dyDescent="0.25">
      <c r="A965" t="str">
        <f>T("   940330")</f>
        <v xml:space="preserve">   940330</v>
      </c>
      <c r="B965" t="str">
        <f>T("   Meubles de bureau en bois (sauf sièges)")</f>
        <v xml:space="preserve">   Meubles de bureau en bois (sauf sièges)</v>
      </c>
      <c r="C965">
        <v>8330501</v>
      </c>
      <c r="D965">
        <v>6095</v>
      </c>
    </row>
    <row r="966" spans="1:4" x14ac:dyDescent="0.25">
      <c r="A966" t="str">
        <f>T("   940340")</f>
        <v xml:space="preserve">   940340</v>
      </c>
      <c r="B966" t="str">
        <f>T("   Meubles de cuisine, en bois (sauf sièges)")</f>
        <v xml:space="preserve">   Meubles de cuisine, en bois (sauf sièges)</v>
      </c>
      <c r="C966">
        <v>154807</v>
      </c>
      <c r="D966">
        <v>420</v>
      </c>
    </row>
    <row r="967" spans="1:4" x14ac:dyDescent="0.25">
      <c r="A967" t="str">
        <f>T("   940350")</f>
        <v xml:space="preserve">   940350</v>
      </c>
      <c r="B967" t="str">
        <f>T("   Meubles pour chambres à coucher, en bois (sauf sièges)")</f>
        <v xml:space="preserve">   Meubles pour chambres à coucher, en bois (sauf sièges)</v>
      </c>
      <c r="C967">
        <v>27955842</v>
      </c>
      <c r="D967">
        <v>26902</v>
      </c>
    </row>
    <row r="968" spans="1:4" x14ac:dyDescent="0.25">
      <c r="A968" t="str">
        <f>T("   940360")</f>
        <v xml:space="preserve">   940360</v>
      </c>
      <c r="B968" t="str">
        <f>T("   Meubles en bois (autres que pour bureaux, cuisines ou chambres à coucher et autres que sièges)")</f>
        <v xml:space="preserve">   Meubles en bois (autres que pour bureaux, cuisines ou chambres à coucher et autres que sièges)</v>
      </c>
      <c r="C968">
        <v>4691818</v>
      </c>
      <c r="D968">
        <v>8479</v>
      </c>
    </row>
    <row r="969" spans="1:4" x14ac:dyDescent="0.25">
      <c r="A969" t="str">
        <f>T("   940380")</f>
        <v xml:space="preserve">   940380</v>
      </c>
      <c r="B969" t="str">
        <f>T("   Meubles en rotin, osier, bambou ou autres matières (sauf métal, bois et matières plastiques)")</f>
        <v xml:space="preserve">   Meubles en rotin, osier, bambou ou autres matières (sauf métal, bois et matières plastiques)</v>
      </c>
      <c r="C969">
        <v>12951288</v>
      </c>
      <c r="D969">
        <v>36584</v>
      </c>
    </row>
    <row r="970" spans="1:4" x14ac:dyDescent="0.25">
      <c r="A970" t="str">
        <f>T("   940410")</f>
        <v xml:space="preserve">   940410</v>
      </c>
      <c r="B970" t="str">
        <f>T("   Sommiers (sauf ressorts pour sièges)")</f>
        <v xml:space="preserve">   Sommiers (sauf ressorts pour sièges)</v>
      </c>
      <c r="C970">
        <v>25000</v>
      </c>
      <c r="D970">
        <v>10</v>
      </c>
    </row>
    <row r="971" spans="1:4" x14ac:dyDescent="0.25">
      <c r="A971" t="str">
        <f>T("   940429")</f>
        <v xml:space="preserve">   940429</v>
      </c>
      <c r="B971"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971">
        <v>220429</v>
      </c>
      <c r="D971">
        <v>1140</v>
      </c>
    </row>
    <row r="972" spans="1:4" x14ac:dyDescent="0.25">
      <c r="A972" t="str">
        <f>T("   940490")</f>
        <v xml:space="preserve">   940490</v>
      </c>
      <c r="B972" t="s">
        <v>505</v>
      </c>
      <c r="C972">
        <v>3600000</v>
      </c>
      <c r="D972">
        <v>10730</v>
      </c>
    </row>
    <row r="973" spans="1:4" x14ac:dyDescent="0.25">
      <c r="A973" t="str">
        <f>T("   940560")</f>
        <v xml:space="preserve">   940560</v>
      </c>
      <c r="B973"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973">
        <v>3266681</v>
      </c>
      <c r="D973">
        <v>1274</v>
      </c>
    </row>
    <row r="974" spans="1:4" x14ac:dyDescent="0.25">
      <c r="A974" t="str">
        <f>T("   950299")</f>
        <v xml:space="preserve">   950299</v>
      </c>
      <c r="B974" t="str">
        <f>T("   Parties et accessoires pour poupées représentant uniquement l'être humain, n.d.a.")</f>
        <v xml:space="preserve">   Parties et accessoires pour poupées représentant uniquement l'être humain, n.d.a.</v>
      </c>
      <c r="C974">
        <v>250000</v>
      </c>
      <c r="D974">
        <v>250</v>
      </c>
    </row>
    <row r="975" spans="1:4" x14ac:dyDescent="0.25">
      <c r="A975" t="str">
        <f>T("   950390")</f>
        <v xml:space="preserve">   950390</v>
      </c>
      <c r="B975" t="str">
        <f>T("   Jouets, n.d.a.")</f>
        <v xml:space="preserve">   Jouets, n.d.a.</v>
      </c>
      <c r="C975">
        <v>9641533</v>
      </c>
      <c r="D975">
        <v>13760</v>
      </c>
    </row>
    <row r="976" spans="1:4" x14ac:dyDescent="0.25">
      <c r="A976" t="str">
        <f>T("   950662")</f>
        <v xml:space="preserve">   950662</v>
      </c>
      <c r="B976" t="str">
        <f>T("   Ballons et balles gonflables")</f>
        <v xml:space="preserve">   Ballons et balles gonflables</v>
      </c>
      <c r="C976">
        <v>81995</v>
      </c>
      <c r="D976">
        <v>30</v>
      </c>
    </row>
    <row r="977" spans="1:4" x14ac:dyDescent="0.25">
      <c r="A977" t="str">
        <f>T("   950699")</f>
        <v xml:space="preserve">   950699</v>
      </c>
      <c r="B977" t="str">
        <f>T("   Articles et matériel pour le sport et les jeux de plein air, n.d.a.; piscines et pataugeoires")</f>
        <v xml:space="preserve">   Articles et matériel pour le sport et les jeux de plein air, n.d.a.; piscines et pataugeoires</v>
      </c>
      <c r="C977">
        <v>2200746</v>
      </c>
      <c r="D977">
        <v>2967</v>
      </c>
    </row>
    <row r="978" spans="1:4" x14ac:dyDescent="0.25">
      <c r="A978" t="str">
        <f>T("   960329")</f>
        <v xml:space="preserve">   960329</v>
      </c>
      <c r="B978"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978">
        <v>745171</v>
      </c>
      <c r="D978">
        <v>925</v>
      </c>
    </row>
    <row r="979" spans="1:4" x14ac:dyDescent="0.25">
      <c r="A979" t="str">
        <f>T("   960350")</f>
        <v xml:space="preserve">   960350</v>
      </c>
      <c r="B979" t="str">
        <f>T("   Brosses constituant des parties de machines, d'appareils ou de véhicules")</f>
        <v xml:space="preserve">   Brosses constituant des parties de machines, d'appareils ou de véhicules</v>
      </c>
      <c r="C979">
        <v>3148855</v>
      </c>
      <c r="D979">
        <v>927</v>
      </c>
    </row>
    <row r="980" spans="1:4" x14ac:dyDescent="0.25">
      <c r="A980" t="str">
        <f>T("   960390")</f>
        <v xml:space="preserve">   960390</v>
      </c>
      <c r="B980"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980">
        <v>209173</v>
      </c>
      <c r="D980">
        <v>350</v>
      </c>
    </row>
    <row r="981" spans="1:4" x14ac:dyDescent="0.25">
      <c r="A981" t="str">
        <f>T("   960810")</f>
        <v xml:space="preserve">   960810</v>
      </c>
      <c r="B981" t="str">
        <f>T("   Stylos et crayons à bille")</f>
        <v xml:space="preserve">   Stylos et crayons à bille</v>
      </c>
      <c r="C981">
        <v>115419</v>
      </c>
      <c r="D981">
        <v>249</v>
      </c>
    </row>
    <row r="982" spans="1:4" x14ac:dyDescent="0.25">
      <c r="A982" t="str">
        <f>T("   960839")</f>
        <v xml:space="preserve">   960839</v>
      </c>
      <c r="B982" t="str">
        <f>T("   Stylos à plume et autres stylos (autres qu'à dessiner à l'encre de Chine)")</f>
        <v xml:space="preserve">   Stylos à plume et autres stylos (autres qu'à dessiner à l'encre de Chine)</v>
      </c>
      <c r="C982">
        <v>45289</v>
      </c>
      <c r="D982">
        <v>187</v>
      </c>
    </row>
    <row r="983" spans="1:4" x14ac:dyDescent="0.25">
      <c r="A983" t="str">
        <f>T("BF")</f>
        <v>BF</v>
      </c>
      <c r="B983" t="str">
        <f>T("Burkina Faso")</f>
        <v>Burkina Faso</v>
      </c>
    </row>
    <row r="984" spans="1:4" x14ac:dyDescent="0.25">
      <c r="A984" t="str">
        <f>T("   ZZ_Total_Produit_SH6")</f>
        <v xml:space="preserve">   ZZ_Total_Produit_SH6</v>
      </c>
      <c r="B984" t="str">
        <f>T("   ZZ_Total_Produit_SH6")</f>
        <v xml:space="preserve">   ZZ_Total_Produit_SH6</v>
      </c>
      <c r="C984">
        <v>641989967</v>
      </c>
      <c r="D984">
        <v>923178</v>
      </c>
    </row>
    <row r="985" spans="1:4" x14ac:dyDescent="0.25">
      <c r="A985" t="str">
        <f>T("   271011")</f>
        <v xml:space="preserve">   271011</v>
      </c>
      <c r="B985"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985">
        <v>1254855</v>
      </c>
      <c r="D985">
        <v>3692</v>
      </c>
    </row>
    <row r="986" spans="1:4" x14ac:dyDescent="0.25">
      <c r="A986" t="str">
        <f>T("   321590")</f>
        <v xml:space="preserve">   321590</v>
      </c>
      <c r="B986" t="str">
        <f>T("   Encres à écrire et à dessiner, même concentrées ou sous formes solides")</f>
        <v xml:space="preserve">   Encres à écrire et à dessiner, même concentrées ou sous formes solides</v>
      </c>
      <c r="C986">
        <v>290400</v>
      </c>
      <c r="D986">
        <v>143</v>
      </c>
    </row>
    <row r="987" spans="1:4" x14ac:dyDescent="0.25">
      <c r="A987" t="str">
        <f>T("   350691")</f>
        <v xml:space="preserve">   350691</v>
      </c>
      <c r="B987"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987">
        <v>1235684</v>
      </c>
      <c r="D987">
        <v>311</v>
      </c>
    </row>
    <row r="988" spans="1:4" x14ac:dyDescent="0.25">
      <c r="A988" t="str">
        <f>T("   380890")</f>
        <v xml:space="preserve">   380890</v>
      </c>
      <c r="B988"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988">
        <v>2958591</v>
      </c>
      <c r="D988">
        <v>800</v>
      </c>
    </row>
    <row r="989" spans="1:4" x14ac:dyDescent="0.25">
      <c r="A989" t="str">
        <f>T("   482110")</f>
        <v xml:space="preserve">   482110</v>
      </c>
      <c r="B989" t="str">
        <f>T("   ÉTIQUETTES DE TOUS GENRES, EN PAPIER OU EN CARTON, IMPRIMÉES")</f>
        <v xml:space="preserve">   ÉTIQUETTES DE TOUS GENRES, EN PAPIER OU EN CARTON, IMPRIMÉES</v>
      </c>
      <c r="C989">
        <v>1524102</v>
      </c>
      <c r="D989">
        <v>178</v>
      </c>
    </row>
    <row r="990" spans="1:4" x14ac:dyDescent="0.25">
      <c r="A990" t="str">
        <f>T("   520299")</f>
        <v xml:space="preserve">   520299</v>
      </c>
      <c r="B990" t="str">
        <f>T("   Déchets de coton (à l'excl. des déchets de fils et des effilochés)")</f>
        <v xml:space="preserve">   Déchets de coton (à l'excl. des déchets de fils et des effilochés)</v>
      </c>
      <c r="C990">
        <v>3028093</v>
      </c>
      <c r="D990">
        <v>18083</v>
      </c>
    </row>
    <row r="991" spans="1:4" x14ac:dyDescent="0.25">
      <c r="A991" t="str">
        <f>T("   720917")</f>
        <v xml:space="preserve">   720917</v>
      </c>
      <c r="B991"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991">
        <v>173911595</v>
      </c>
      <c r="D991">
        <v>450000</v>
      </c>
    </row>
    <row r="992" spans="1:4" x14ac:dyDescent="0.25">
      <c r="A992" t="str">
        <f>T("   730900")</f>
        <v xml:space="preserve">   730900</v>
      </c>
      <c r="B992" t="s">
        <v>350</v>
      </c>
      <c r="C992">
        <v>1800000</v>
      </c>
      <c r="D992">
        <v>8800</v>
      </c>
    </row>
    <row r="993" spans="1:4" x14ac:dyDescent="0.25">
      <c r="A993" t="str">
        <f>T("   841330")</f>
        <v xml:space="preserve">   841330</v>
      </c>
      <c r="B993"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993">
        <v>6000000</v>
      </c>
      <c r="D993">
        <v>1200</v>
      </c>
    </row>
    <row r="994" spans="1:4" x14ac:dyDescent="0.25">
      <c r="A994" t="str">
        <f>T("   842630")</f>
        <v xml:space="preserve">   842630</v>
      </c>
      <c r="B994" t="str">
        <f>T("   Grues sur portiques")</f>
        <v xml:space="preserve">   Grues sur portiques</v>
      </c>
      <c r="C994">
        <v>51260650</v>
      </c>
      <c r="D994">
        <v>13650</v>
      </c>
    </row>
    <row r="995" spans="1:4" x14ac:dyDescent="0.25">
      <c r="A995" t="str">
        <f>T("   842920")</f>
        <v xml:space="preserve">   842920</v>
      </c>
      <c r="B995" t="str">
        <f>T("   Niveleuses autopropulsées")</f>
        <v xml:space="preserve">   Niveleuses autopropulsées</v>
      </c>
      <c r="C995">
        <v>55000000</v>
      </c>
      <c r="D995">
        <v>59780</v>
      </c>
    </row>
    <row r="996" spans="1:4" x14ac:dyDescent="0.25">
      <c r="A996" t="str">
        <f>T("   842940")</f>
        <v xml:space="preserve">   842940</v>
      </c>
      <c r="B996" t="str">
        <f>T("   Rouleaux compresseurs et autres compacteuses, autopropulsés")</f>
        <v xml:space="preserve">   Rouleaux compresseurs et autres compacteuses, autopropulsés</v>
      </c>
      <c r="C996">
        <v>18000000</v>
      </c>
      <c r="D996">
        <v>34000</v>
      </c>
    </row>
    <row r="997" spans="1:4" x14ac:dyDescent="0.25">
      <c r="A997" t="str">
        <f>T("   842959")</f>
        <v xml:space="preserve">   842959</v>
      </c>
      <c r="B997"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997">
        <v>155277980</v>
      </c>
      <c r="D997">
        <v>265332</v>
      </c>
    </row>
    <row r="998" spans="1:4" x14ac:dyDescent="0.25">
      <c r="A998" t="str">
        <f>T("   843131")</f>
        <v xml:space="preserve">   843131</v>
      </c>
      <c r="B998" t="str">
        <f>T("   Parties d'ascenseurs, monte-charge ou escaliers mécaniques, n.d.a.")</f>
        <v xml:space="preserve">   Parties d'ascenseurs, monte-charge ou escaliers mécaniques, n.d.a.</v>
      </c>
      <c r="C998">
        <v>84600</v>
      </c>
      <c r="D998">
        <v>29</v>
      </c>
    </row>
    <row r="999" spans="1:4" x14ac:dyDescent="0.25">
      <c r="A999" t="str">
        <f>T("   847180")</f>
        <v xml:space="preserve">   847180</v>
      </c>
      <c r="B999"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999">
        <v>4014065</v>
      </c>
      <c r="D999">
        <v>1250</v>
      </c>
    </row>
    <row r="1000" spans="1:4" x14ac:dyDescent="0.25">
      <c r="A1000" t="str">
        <f>T("   847190")</f>
        <v xml:space="preserve">   847190</v>
      </c>
      <c r="B100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000">
        <v>820000</v>
      </c>
      <c r="D1000">
        <v>250</v>
      </c>
    </row>
    <row r="1001" spans="1:4" x14ac:dyDescent="0.25">
      <c r="A1001" t="str">
        <f>T("   847431")</f>
        <v xml:space="preserve">   847431</v>
      </c>
      <c r="B1001"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1001">
        <v>5850000</v>
      </c>
      <c r="D1001">
        <v>2700</v>
      </c>
    </row>
    <row r="1002" spans="1:4" x14ac:dyDescent="0.25">
      <c r="A1002" t="str">
        <f>T("   847490")</f>
        <v xml:space="preserve">   847490</v>
      </c>
      <c r="B1002" t="str">
        <f>T("   Parties des machines et appareils pour le travail des matières minérales du n° 8474, n.d.a.")</f>
        <v xml:space="preserve">   Parties des machines et appareils pour le travail des matières minérales du n° 8474, n.d.a.</v>
      </c>
      <c r="C1002">
        <v>1241000</v>
      </c>
      <c r="D1002">
        <v>1800</v>
      </c>
    </row>
    <row r="1003" spans="1:4" x14ac:dyDescent="0.25">
      <c r="A1003" t="str">
        <f>T("   850211")</f>
        <v xml:space="preserve">   850211</v>
      </c>
      <c r="B1003" t="s">
        <v>444</v>
      </c>
      <c r="C1003">
        <v>6510000</v>
      </c>
      <c r="D1003">
        <v>5100</v>
      </c>
    </row>
    <row r="1004" spans="1:4" x14ac:dyDescent="0.25">
      <c r="A1004" t="str">
        <f>T("   850239")</f>
        <v xml:space="preserve">   850239</v>
      </c>
      <c r="B1004" t="str">
        <f>T("   Groupes électrogènes (autres qu'à énergie éolienne et à moteurs à piston)")</f>
        <v xml:space="preserve">   Groupes électrogènes (autres qu'à énergie éolienne et à moteurs à piston)</v>
      </c>
      <c r="C1004">
        <v>250000</v>
      </c>
      <c r="D1004">
        <v>1600</v>
      </c>
    </row>
    <row r="1005" spans="1:4" x14ac:dyDescent="0.25">
      <c r="A1005" t="str">
        <f>T("   854210")</f>
        <v xml:space="preserve">   854210</v>
      </c>
      <c r="B1005" t="str">
        <f>T("   Cartes munies d'un circuit intégré électronique [cartes intelligentes], munies ou non d'une piste magnétique")</f>
        <v xml:space="preserve">   Cartes munies d'un circuit intégré électronique [cartes intelligentes], munies ou non d'une piste magnétique</v>
      </c>
      <c r="C1005">
        <v>42764</v>
      </c>
      <c r="D1005">
        <v>5</v>
      </c>
    </row>
    <row r="1006" spans="1:4" x14ac:dyDescent="0.25">
      <c r="A1006" t="str">
        <f>T("   870210")</f>
        <v xml:space="preserve">   870210</v>
      </c>
      <c r="B1006" t="s">
        <v>469</v>
      </c>
      <c r="C1006">
        <v>1200000</v>
      </c>
      <c r="D1006">
        <v>3000</v>
      </c>
    </row>
    <row r="1007" spans="1:4" x14ac:dyDescent="0.25">
      <c r="A1007" t="str">
        <f>T("   870323")</f>
        <v xml:space="preserve">   870323</v>
      </c>
      <c r="B1007" t="s">
        <v>473</v>
      </c>
      <c r="C1007">
        <v>5315468</v>
      </c>
      <c r="D1007">
        <v>4910</v>
      </c>
    </row>
    <row r="1008" spans="1:4" x14ac:dyDescent="0.25">
      <c r="A1008" t="str">
        <f>T("   870333")</f>
        <v xml:space="preserve">   870333</v>
      </c>
      <c r="B1008" t="s">
        <v>477</v>
      </c>
      <c r="C1008">
        <v>15149665</v>
      </c>
      <c r="D1008">
        <v>1750</v>
      </c>
    </row>
    <row r="1009" spans="1:4" x14ac:dyDescent="0.25">
      <c r="A1009" t="str">
        <f>T("   870421")</f>
        <v xml:space="preserve">   870421</v>
      </c>
      <c r="B1009" t="s">
        <v>478</v>
      </c>
      <c r="C1009">
        <v>85939375</v>
      </c>
      <c r="D1009">
        <v>19897</v>
      </c>
    </row>
    <row r="1010" spans="1:4" x14ac:dyDescent="0.25">
      <c r="A1010" t="str">
        <f>T("   870422")</f>
        <v xml:space="preserve">   870422</v>
      </c>
      <c r="B1010" t="s">
        <v>479</v>
      </c>
      <c r="C1010">
        <v>9231080</v>
      </c>
      <c r="D1010">
        <v>2815</v>
      </c>
    </row>
    <row r="1011" spans="1:4" x14ac:dyDescent="0.25">
      <c r="A1011" t="str">
        <f>T("   871620")</f>
        <v xml:space="preserve">   871620</v>
      </c>
      <c r="B1011" t="str">
        <f>T("   Remorques et semi-remorques autochargeuses ou autodéchargeuses, pour usages agricoles")</f>
        <v xml:space="preserve">   Remorques et semi-remorques autochargeuses ou autodéchargeuses, pour usages agricoles</v>
      </c>
      <c r="C1011">
        <v>30000000</v>
      </c>
      <c r="D1011">
        <v>14000</v>
      </c>
    </row>
    <row r="1012" spans="1:4" x14ac:dyDescent="0.25">
      <c r="A1012" t="str">
        <f>T("   871631")</f>
        <v xml:space="preserve">   871631</v>
      </c>
      <c r="B1012" t="str">
        <f>T("   Remorques-citernes ne circulant pas sur rails")</f>
        <v xml:space="preserve">   Remorques-citernes ne circulant pas sur rails</v>
      </c>
      <c r="C1012">
        <v>4000000</v>
      </c>
      <c r="D1012">
        <v>8100</v>
      </c>
    </row>
    <row r="1013" spans="1:4" x14ac:dyDescent="0.25">
      <c r="A1013" t="str">
        <f>T("   930200")</f>
        <v xml:space="preserve">   930200</v>
      </c>
      <c r="B1013" t="str">
        <f>T("   Revolvers et pistolets (autres que ceux du n° 9303 ou 9304 et pistolets-mitrailleurs de guerre)")</f>
        <v xml:space="preserve">   Revolvers et pistolets (autres que ceux du n° 9303 ou 9304 et pistolets-mitrailleurs de guerre)</v>
      </c>
      <c r="C1013">
        <v>800000</v>
      </c>
      <c r="D1013">
        <v>3</v>
      </c>
    </row>
    <row r="1014" spans="1:4" x14ac:dyDescent="0.25">
      <c r="A1014" t="str">
        <f>T("BG")</f>
        <v>BG</v>
      </c>
      <c r="B1014" t="str">
        <f>T("Bulgarie")</f>
        <v>Bulgarie</v>
      </c>
    </row>
    <row r="1015" spans="1:4" x14ac:dyDescent="0.25">
      <c r="A1015" t="str">
        <f>T("   ZZ_Total_Produit_SH6")</f>
        <v xml:space="preserve">   ZZ_Total_Produit_SH6</v>
      </c>
      <c r="B1015" t="str">
        <f>T("   ZZ_Total_Produit_SH6")</f>
        <v xml:space="preserve">   ZZ_Total_Produit_SH6</v>
      </c>
      <c r="C1015">
        <v>36031652</v>
      </c>
      <c r="D1015">
        <v>121355</v>
      </c>
    </row>
    <row r="1016" spans="1:4" x14ac:dyDescent="0.25">
      <c r="A1016" t="str">
        <f>T("   200919")</f>
        <v xml:space="preserve">   200919</v>
      </c>
      <c r="B1016"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016">
        <v>3595237</v>
      </c>
      <c r="D1016">
        <v>13840</v>
      </c>
    </row>
    <row r="1017" spans="1:4" x14ac:dyDescent="0.25">
      <c r="A1017" t="str">
        <f>T("   200949")</f>
        <v xml:space="preserve">   200949</v>
      </c>
      <c r="B1017"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1017">
        <v>2668924</v>
      </c>
      <c r="D1017">
        <v>10791</v>
      </c>
    </row>
    <row r="1018" spans="1:4" x14ac:dyDescent="0.25">
      <c r="A1018" t="str">
        <f>T("   200950")</f>
        <v xml:space="preserve">   200950</v>
      </c>
      <c r="B1018" t="str">
        <f>T("   JUS DE TOMATE, NON-FERMENTÉS, SANS ADDITION D'ALCOOL, AVEC OU SANS ADDITION DE SUCRE OU D'AUTRES ÉDULCORANTS")</f>
        <v xml:space="preserve">   JUS DE TOMATE, NON-FERMENTÉS, SANS ADDITION D'ALCOOL, AVEC OU SANS ADDITION DE SUCRE OU D'AUTRES ÉDULCORANTS</v>
      </c>
      <c r="C1018">
        <v>52477</v>
      </c>
      <c r="D1018">
        <v>325</v>
      </c>
    </row>
    <row r="1019" spans="1:4" x14ac:dyDescent="0.25">
      <c r="A1019" t="str">
        <f>T("   200971")</f>
        <v xml:space="preserve">   200971</v>
      </c>
      <c r="B1019" t="str">
        <f>T("   JUS DE POMME, NON-FERMENTÉS, SANS ADDITION D'ALCOOL, AVEC OU SANS ADDITION DE SUCRE OU D'AUTRES ÉDULCORANTS, D'UNE VALEUR BRIX &lt;= 20 À 20°C")</f>
        <v xml:space="preserve">   JUS DE POMME, NON-FERMENTÉS, SANS ADDITION D'ALCOOL, AVEC OU SANS ADDITION DE SUCRE OU D'AUTRES ÉDULCORANTS, D'UNE VALEUR BRIX &lt;= 20 À 20°C</v>
      </c>
      <c r="C1019">
        <v>1111577</v>
      </c>
      <c r="D1019">
        <v>3891</v>
      </c>
    </row>
    <row r="1020" spans="1:4" x14ac:dyDescent="0.25">
      <c r="A1020" t="str">
        <f>T("   200979")</f>
        <v xml:space="preserve">   200979</v>
      </c>
      <c r="B1020"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1020">
        <v>1557347</v>
      </c>
      <c r="D1020">
        <v>6900</v>
      </c>
    </row>
    <row r="1021" spans="1:4" x14ac:dyDescent="0.25">
      <c r="A1021" t="str">
        <f>T("   200980")</f>
        <v xml:space="preserve">   200980</v>
      </c>
      <c r="B1021"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21">
        <v>3964576</v>
      </c>
      <c r="D1021">
        <v>20716</v>
      </c>
    </row>
    <row r="1022" spans="1:4" x14ac:dyDescent="0.25">
      <c r="A1022" t="str">
        <f>T("   200990")</f>
        <v xml:space="preserve">   200990</v>
      </c>
      <c r="B1022"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22">
        <v>518733</v>
      </c>
      <c r="D1022">
        <v>1816</v>
      </c>
    </row>
    <row r="1023" spans="1:4" x14ac:dyDescent="0.25">
      <c r="A1023" t="str">
        <f>T("   220290")</f>
        <v xml:space="preserve">   220290</v>
      </c>
      <c r="B1023" t="str">
        <f>T("   BOISSONS NON-ALCOOLIQUES (À L'EXCL. DES EAUX, DES JUS DE FRUITS OU DE LÉGUMES AINSI QUE DU LAIT)")</f>
        <v xml:space="preserve">   BOISSONS NON-ALCOOLIQUES (À L'EXCL. DES EAUX, DES JUS DE FRUITS OU DE LÉGUMES AINSI QUE DU LAIT)</v>
      </c>
      <c r="C1023">
        <v>5098258</v>
      </c>
      <c r="D1023">
        <v>20475</v>
      </c>
    </row>
    <row r="1024" spans="1:4" x14ac:dyDescent="0.25">
      <c r="A1024" t="str">
        <f>T("   220410")</f>
        <v xml:space="preserve">   220410</v>
      </c>
      <c r="B1024" t="str">
        <f>T("   Vins mousseux produits à partir de raisins frais")</f>
        <v xml:space="preserve">   Vins mousseux produits à partir de raisins frais</v>
      </c>
      <c r="C1024">
        <v>1758439</v>
      </c>
      <c r="D1024">
        <v>5453</v>
      </c>
    </row>
    <row r="1025" spans="1:4" x14ac:dyDescent="0.25">
      <c r="A1025" t="str">
        <f>T("   220421")</f>
        <v xml:space="preserve">   220421</v>
      </c>
      <c r="B1025"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025">
        <v>10662526</v>
      </c>
      <c r="D1025">
        <v>24078</v>
      </c>
    </row>
    <row r="1026" spans="1:4" x14ac:dyDescent="0.25">
      <c r="A1026" t="str">
        <f>T("   220830")</f>
        <v xml:space="preserve">   220830</v>
      </c>
      <c r="B1026" t="str">
        <f>T("   Whiskies")</f>
        <v xml:space="preserve">   Whiskies</v>
      </c>
      <c r="C1026">
        <v>32831</v>
      </c>
      <c r="D1026">
        <v>102</v>
      </c>
    </row>
    <row r="1027" spans="1:4" x14ac:dyDescent="0.25">
      <c r="A1027" t="str">
        <f>T("   220850")</f>
        <v xml:space="preserve">   220850</v>
      </c>
      <c r="B1027" t="str">
        <f>T("   Gin et genièvre")</f>
        <v xml:space="preserve">   Gin et genièvre</v>
      </c>
      <c r="C1027">
        <v>145537</v>
      </c>
      <c r="D1027">
        <v>451</v>
      </c>
    </row>
    <row r="1028" spans="1:4" x14ac:dyDescent="0.25">
      <c r="A1028" t="str">
        <f>T("   220860")</f>
        <v xml:space="preserve">   220860</v>
      </c>
      <c r="B1028" t="str">
        <f>T("   VODKA")</f>
        <v xml:space="preserve">   VODKA</v>
      </c>
      <c r="C1028">
        <v>712025</v>
      </c>
      <c r="D1028">
        <v>2208</v>
      </c>
    </row>
    <row r="1029" spans="1:4" x14ac:dyDescent="0.25">
      <c r="A1029" t="str">
        <f>T("   330300")</f>
        <v xml:space="preserve">   330300</v>
      </c>
      <c r="B1029"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029">
        <v>348971</v>
      </c>
      <c r="D1029">
        <v>107</v>
      </c>
    </row>
    <row r="1030" spans="1:4" x14ac:dyDescent="0.25">
      <c r="A1030" t="str">
        <f>T("   491110")</f>
        <v xml:space="preserve">   491110</v>
      </c>
      <c r="B1030" t="str">
        <f>T("   Imprimés publicitaires, catalogues commerciaux et simil.")</f>
        <v xml:space="preserve">   Imprimés publicitaires, catalogues commerciaux et simil.</v>
      </c>
      <c r="C1030">
        <v>514273</v>
      </c>
      <c r="D1030">
        <v>132</v>
      </c>
    </row>
    <row r="1031" spans="1:4" x14ac:dyDescent="0.25">
      <c r="A1031" t="str">
        <f>T("   610910")</f>
        <v xml:space="preserve">   610910</v>
      </c>
      <c r="B1031" t="str">
        <f>T("   T-shirts et maillots de corps, en bonneterie, de coton,")</f>
        <v xml:space="preserve">   T-shirts et maillots de corps, en bonneterie, de coton,</v>
      </c>
      <c r="C1031">
        <v>39</v>
      </c>
      <c r="D1031">
        <v>52</v>
      </c>
    </row>
    <row r="1032" spans="1:4" x14ac:dyDescent="0.25">
      <c r="A1032" t="str">
        <f>T("   610990")</f>
        <v xml:space="preserve">   610990</v>
      </c>
      <c r="B1032" t="str">
        <f>T("   T-shirts et maillots de corps, en bonneterie, de matières textiles (sauf de coton)")</f>
        <v xml:space="preserve">   T-shirts et maillots de corps, en bonneterie, de matières textiles (sauf de coton)</v>
      </c>
      <c r="C1032">
        <v>50509</v>
      </c>
      <c r="D1032">
        <v>6</v>
      </c>
    </row>
    <row r="1033" spans="1:4" x14ac:dyDescent="0.25">
      <c r="A1033" t="str">
        <f>T("   841829")</f>
        <v xml:space="preserve">   841829</v>
      </c>
      <c r="B1033" t="str">
        <f>T("   Réfrigérateurs ménagers à absorption, non-électriques")</f>
        <v xml:space="preserve">   Réfrigérateurs ménagers à absorption, non-électriques</v>
      </c>
      <c r="C1033">
        <v>434901</v>
      </c>
      <c r="D1033">
        <v>2000</v>
      </c>
    </row>
    <row r="1034" spans="1:4" x14ac:dyDescent="0.25">
      <c r="A1034" t="str">
        <f>T("   850239")</f>
        <v xml:space="preserve">   850239</v>
      </c>
      <c r="B1034" t="str">
        <f>T("   Groupes électrogènes (autres qu'à énergie éolienne et à moteurs à piston)")</f>
        <v xml:space="preserve">   Groupes électrogènes (autres qu'à énergie éolienne et à moteurs à piston)</v>
      </c>
      <c r="C1034">
        <v>2500520</v>
      </c>
      <c r="D1034">
        <v>6000</v>
      </c>
    </row>
    <row r="1035" spans="1:4" x14ac:dyDescent="0.25">
      <c r="A1035" t="str">
        <f>T("   852812")</f>
        <v xml:space="preserve">   852812</v>
      </c>
      <c r="B103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35">
        <v>303709</v>
      </c>
      <c r="D1035">
        <v>2000</v>
      </c>
    </row>
    <row r="1036" spans="1:4" x14ac:dyDescent="0.25">
      <c r="A1036" t="str">
        <f>T("   950699")</f>
        <v xml:space="preserve">   950699</v>
      </c>
      <c r="B1036" t="str">
        <f>T("   Articles et matériel pour le sport et les jeux de plein air, n.d.a.; piscines et pataugeoires")</f>
        <v xml:space="preserve">   Articles et matériel pour le sport et les jeux de plein air, n.d.a.; piscines et pataugeoires</v>
      </c>
      <c r="C1036">
        <v>243</v>
      </c>
      <c r="D1036">
        <v>12</v>
      </c>
    </row>
    <row r="1037" spans="1:4" x14ac:dyDescent="0.25">
      <c r="A1037" t="str">
        <f>T("BH")</f>
        <v>BH</v>
      </c>
      <c r="B1037" t="str">
        <f>T("Bahreïn")</f>
        <v>Bahreïn</v>
      </c>
    </row>
    <row r="1038" spans="1:4" x14ac:dyDescent="0.25">
      <c r="A1038" t="str">
        <f>T("   ZZ_Total_Produit_SH6")</f>
        <v xml:space="preserve">   ZZ_Total_Produit_SH6</v>
      </c>
      <c r="B1038" t="str">
        <f>T("   ZZ_Total_Produit_SH6")</f>
        <v xml:space="preserve">   ZZ_Total_Produit_SH6</v>
      </c>
      <c r="C1038">
        <v>9163324</v>
      </c>
      <c r="D1038">
        <v>26733</v>
      </c>
    </row>
    <row r="1039" spans="1:4" x14ac:dyDescent="0.25">
      <c r="A1039" t="str">
        <f>T("   721499")</f>
        <v xml:space="preserve">   721499</v>
      </c>
      <c r="B1039" t="s">
        <v>340</v>
      </c>
      <c r="C1039">
        <v>9163324</v>
      </c>
      <c r="D1039">
        <v>26733</v>
      </c>
    </row>
    <row r="1040" spans="1:4" x14ac:dyDescent="0.25">
      <c r="A1040" t="str">
        <f>T("BO")</f>
        <v>BO</v>
      </c>
      <c r="B1040" t="str">
        <f>T("Bolivie")</f>
        <v>Bolivie</v>
      </c>
    </row>
    <row r="1041" spans="1:4" x14ac:dyDescent="0.25">
      <c r="A1041" t="str">
        <f>T("   ZZ_Total_Produit_SH6")</f>
        <v xml:space="preserve">   ZZ_Total_Produit_SH6</v>
      </c>
      <c r="B1041" t="str">
        <f>T("   ZZ_Total_Produit_SH6")</f>
        <v xml:space="preserve">   ZZ_Total_Produit_SH6</v>
      </c>
      <c r="C1041">
        <v>10290250</v>
      </c>
      <c r="D1041">
        <v>37401</v>
      </c>
    </row>
    <row r="1042" spans="1:4" x14ac:dyDescent="0.25">
      <c r="A1042" t="str">
        <f>T("   690890")</f>
        <v xml:space="preserve">   690890</v>
      </c>
      <c r="B1042" t="s">
        <v>307</v>
      </c>
      <c r="C1042">
        <v>3201099</v>
      </c>
      <c r="D1042">
        <v>19530</v>
      </c>
    </row>
    <row r="1043" spans="1:4" x14ac:dyDescent="0.25">
      <c r="A1043" t="str">
        <f>T("   843280")</f>
        <v xml:space="preserve">   843280</v>
      </c>
      <c r="B1043" t="s">
        <v>412</v>
      </c>
      <c r="C1043">
        <v>1100458</v>
      </c>
      <c r="D1043">
        <v>1650</v>
      </c>
    </row>
    <row r="1044" spans="1:4" x14ac:dyDescent="0.25">
      <c r="A1044" t="str">
        <f>T("   871620")</f>
        <v xml:space="preserve">   871620</v>
      </c>
      <c r="B1044" t="str">
        <f>T("   Remorques et semi-remorques autochargeuses ou autodéchargeuses, pour usages agricoles")</f>
        <v xml:space="preserve">   Remorques et semi-remorques autochargeuses ou autodéchargeuses, pour usages agricoles</v>
      </c>
      <c r="C1044">
        <v>539442</v>
      </c>
      <c r="D1044">
        <v>5000</v>
      </c>
    </row>
    <row r="1045" spans="1:4" x14ac:dyDescent="0.25">
      <c r="A1045" t="str">
        <f>T("   940360")</f>
        <v xml:space="preserve">   940360</v>
      </c>
      <c r="B1045" t="str">
        <f>T("   Meubles en bois (autres que pour bureaux, cuisines ou chambres à coucher et autres que sièges)")</f>
        <v xml:space="preserve">   Meubles en bois (autres que pour bureaux, cuisines ou chambres à coucher et autres que sièges)</v>
      </c>
      <c r="C1045">
        <v>5449251</v>
      </c>
      <c r="D1045">
        <v>11221</v>
      </c>
    </row>
    <row r="1046" spans="1:4" x14ac:dyDescent="0.25">
      <c r="A1046" t="str">
        <f>T("BR")</f>
        <v>BR</v>
      </c>
      <c r="B1046" t="str">
        <f>T("Brésil")</f>
        <v>Brésil</v>
      </c>
    </row>
    <row r="1047" spans="1:4" x14ac:dyDescent="0.25">
      <c r="A1047" t="str">
        <f>T("   ZZ_Total_Produit_SH6")</f>
        <v xml:space="preserve">   ZZ_Total_Produit_SH6</v>
      </c>
      <c r="B1047" t="str">
        <f>T("   ZZ_Total_Produit_SH6")</f>
        <v xml:space="preserve">   ZZ_Total_Produit_SH6</v>
      </c>
      <c r="C1047">
        <v>22628272131.573002</v>
      </c>
      <c r="D1047">
        <v>62288289</v>
      </c>
    </row>
    <row r="1048" spans="1:4" x14ac:dyDescent="0.25">
      <c r="A1048" t="str">
        <f>T("   020629")</f>
        <v xml:space="preserve">   020629</v>
      </c>
      <c r="B1048" t="str">
        <f>T("   Abats comestibles de bovins, congelés (à l'excl. des langues et des foies)")</f>
        <v xml:space="preserve">   Abats comestibles de bovins, congelés (à l'excl. des langues et des foies)</v>
      </c>
      <c r="C1048">
        <v>8406783</v>
      </c>
      <c r="D1048">
        <v>11978</v>
      </c>
    </row>
    <row r="1049" spans="1:4" x14ac:dyDescent="0.25">
      <c r="A1049" t="str">
        <f>T("   020711")</f>
        <v xml:space="preserve">   020711</v>
      </c>
      <c r="B1049" t="str">
        <f>T("   COQS ET POULES [DES ESPÈCES DOMESTIQUES], NON-DÉCOUPÉS EN MORCEAUX, FRAIS OU RÉFRIGÉRÉS")</f>
        <v xml:space="preserve">   COQS ET POULES [DES ESPÈCES DOMESTIQUES], NON-DÉCOUPÉS EN MORCEAUX, FRAIS OU RÉFRIGÉRÉS</v>
      </c>
      <c r="C1049">
        <v>142379398</v>
      </c>
      <c r="D1049">
        <v>240475</v>
      </c>
    </row>
    <row r="1050" spans="1:4" x14ac:dyDescent="0.25">
      <c r="A1050" t="str">
        <f>T("   020712")</f>
        <v xml:space="preserve">   020712</v>
      </c>
      <c r="B1050" t="str">
        <f>T("   COQS ET POULES [DES ESPÈCES DOMESTIQUES], NON-DÉCOUPÉS EN MORCEAUX, CONGELÉS")</f>
        <v xml:space="preserve">   COQS ET POULES [DES ESPÈCES DOMESTIQUES], NON-DÉCOUPÉS EN MORCEAUX, CONGELÉS</v>
      </c>
      <c r="C1050">
        <v>275410489</v>
      </c>
      <c r="D1050">
        <v>454192</v>
      </c>
    </row>
    <row r="1051" spans="1:4" x14ac:dyDescent="0.25">
      <c r="A1051" t="str">
        <f>T("   020713")</f>
        <v xml:space="preserve">   020713</v>
      </c>
      <c r="B1051" t="str">
        <f>T("   Morceaux et abats comestibles de coqs et de poules [des espèces domestiques], frais ou réfrigérés")</f>
        <v xml:space="preserve">   Morceaux et abats comestibles de coqs et de poules [des espèces domestiques], frais ou réfrigérés</v>
      </c>
      <c r="C1051">
        <v>107775677</v>
      </c>
      <c r="D1051">
        <v>184004</v>
      </c>
    </row>
    <row r="1052" spans="1:4" x14ac:dyDescent="0.25">
      <c r="A1052" t="str">
        <f>T("   020714")</f>
        <v xml:space="preserve">   020714</v>
      </c>
      <c r="B1052" t="str">
        <f>T("   Morceaux et abats comestibles de coqs et de poules [des espèces domestiques], congelés")</f>
        <v xml:space="preserve">   Morceaux et abats comestibles de coqs et de poules [des espèces domestiques], congelés</v>
      </c>
      <c r="C1052">
        <v>3898751249</v>
      </c>
      <c r="D1052">
        <v>6635700</v>
      </c>
    </row>
    <row r="1053" spans="1:4" x14ac:dyDescent="0.25">
      <c r="A1053" t="str">
        <f>T("   020727")</f>
        <v xml:space="preserve">   020727</v>
      </c>
      <c r="B1053" t="str">
        <f>T("   Morceaux et abats comestibles de dindes et dindons [des espèces domestiques], congelés")</f>
        <v xml:space="preserve">   Morceaux et abats comestibles de dindes et dindons [des espèces domestiques], congelés</v>
      </c>
      <c r="C1053">
        <v>6394753648</v>
      </c>
      <c r="D1053">
        <v>10303176</v>
      </c>
    </row>
    <row r="1054" spans="1:4" x14ac:dyDescent="0.25">
      <c r="A1054" t="str">
        <f>T("   030219")</f>
        <v xml:space="preserve">   030219</v>
      </c>
      <c r="B1054" t="str">
        <f>T("   Salmonidés, frais ou réfrigérés (à l'excl. des truites et des saumons du Pacifique, de l'Atlantique et du Danube)")</f>
        <v xml:space="preserve">   Salmonidés, frais ou réfrigérés (à l'excl. des truites et des saumons du Pacifique, de l'Atlantique et du Danube)</v>
      </c>
      <c r="C1054">
        <v>4865255</v>
      </c>
      <c r="D1054">
        <v>27780</v>
      </c>
    </row>
    <row r="1055" spans="1:4" x14ac:dyDescent="0.25">
      <c r="A1055" t="str">
        <f>T("   030379")</f>
        <v xml:space="preserve">   030379</v>
      </c>
      <c r="B1055" t="s">
        <v>17</v>
      </c>
      <c r="C1055">
        <v>22071157</v>
      </c>
      <c r="D1055">
        <v>55600</v>
      </c>
    </row>
    <row r="1056" spans="1:4" x14ac:dyDescent="0.25">
      <c r="A1056" t="str">
        <f>T("   050400")</f>
        <v xml:space="preserve">   050400</v>
      </c>
      <c r="B1056"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1056">
        <v>8779218</v>
      </c>
      <c r="D1056">
        <v>16000</v>
      </c>
    </row>
    <row r="1057" spans="1:4" x14ac:dyDescent="0.25">
      <c r="A1057" t="str">
        <f>T("   100630")</f>
        <v xml:space="preserve">   100630</v>
      </c>
      <c r="B1057" t="str">
        <f>T("   Riz semi-blanchi ou blanchi, même poli ou glacé")</f>
        <v xml:space="preserve">   Riz semi-blanchi ou blanchi, même poli ou glacé</v>
      </c>
      <c r="C1057">
        <v>6149454728.1009998</v>
      </c>
      <c r="D1057">
        <v>22375180</v>
      </c>
    </row>
    <row r="1058" spans="1:4" x14ac:dyDescent="0.25">
      <c r="A1058" t="str">
        <f>T("   151710")</f>
        <v xml:space="preserve">   151710</v>
      </c>
      <c r="B1058" t="str">
        <f>T("   Margarine (à l'excl. de la margarine liquide)")</f>
        <v xml:space="preserve">   Margarine (à l'excl. de la margarine liquide)</v>
      </c>
      <c r="C1058">
        <v>4323258</v>
      </c>
      <c r="D1058">
        <v>9954</v>
      </c>
    </row>
    <row r="1059" spans="1:4" x14ac:dyDescent="0.25">
      <c r="A1059" t="str">
        <f>T("   160100")</f>
        <v xml:space="preserve">   160100</v>
      </c>
      <c r="B1059" t="str">
        <f>T("   Saucisses, saucissons et produits simil., de viande, d'abats ou de sang; préparations alimentaires à base de ces produits")</f>
        <v xml:space="preserve">   Saucisses, saucissons et produits simil., de viande, d'abats ou de sang; préparations alimentaires à base de ces produits</v>
      </c>
      <c r="C1059">
        <v>288157139</v>
      </c>
      <c r="D1059">
        <v>478660</v>
      </c>
    </row>
    <row r="1060" spans="1:4" x14ac:dyDescent="0.25">
      <c r="A1060" t="str">
        <f>T("   160232")</f>
        <v xml:space="preserve">   160232</v>
      </c>
      <c r="B1060" t="s">
        <v>40</v>
      </c>
      <c r="C1060">
        <v>336603535</v>
      </c>
      <c r="D1060">
        <v>571673</v>
      </c>
    </row>
    <row r="1061" spans="1:4" x14ac:dyDescent="0.25">
      <c r="A1061" t="str">
        <f>T("   170191")</f>
        <v xml:space="preserve">   170191</v>
      </c>
      <c r="B1061" t="str">
        <f>T("   Sucres de canne ou de betterave, à l'état solide, additionnés d'aromatisants ou de colorants")</f>
        <v xml:space="preserve">   Sucres de canne ou de betterave, à l'état solide, additionnés d'aromatisants ou de colorants</v>
      </c>
      <c r="C1061">
        <v>541056481.45799994</v>
      </c>
      <c r="D1061">
        <v>2878634</v>
      </c>
    </row>
    <row r="1062" spans="1:4" x14ac:dyDescent="0.25">
      <c r="A1062" t="str">
        <f>T("   170199")</f>
        <v xml:space="preserve">   170199</v>
      </c>
      <c r="B1062"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062">
        <v>3708471476.0149999</v>
      </c>
      <c r="D1062">
        <v>16114053</v>
      </c>
    </row>
    <row r="1063" spans="1:4" x14ac:dyDescent="0.25">
      <c r="A1063" t="str">
        <f>T("   170410")</f>
        <v xml:space="preserve">   170410</v>
      </c>
      <c r="B1063" t="str">
        <f>T("   Gommes à mâcher [chewing-gum], même enrobées de sucre")</f>
        <v xml:space="preserve">   Gommes à mâcher [chewing-gum], même enrobées de sucre</v>
      </c>
      <c r="C1063">
        <v>1377686</v>
      </c>
      <c r="D1063">
        <v>2344</v>
      </c>
    </row>
    <row r="1064" spans="1:4" x14ac:dyDescent="0.25">
      <c r="A1064" t="str">
        <f>T("   170490")</f>
        <v xml:space="preserve">   170490</v>
      </c>
      <c r="B1064" t="str">
        <f>T("   Sucreries sans cacao, y.c. le chocolat blanc (à l'excl. des gommes à mâcher)")</f>
        <v xml:space="preserve">   Sucreries sans cacao, y.c. le chocolat blanc (à l'excl. des gommes à mâcher)</v>
      </c>
      <c r="C1064">
        <v>2066529</v>
      </c>
      <c r="D1064">
        <v>3516</v>
      </c>
    </row>
    <row r="1065" spans="1:4" x14ac:dyDescent="0.25">
      <c r="A1065" t="str">
        <f>T("   190110")</f>
        <v xml:space="preserve">   190110</v>
      </c>
      <c r="B1065" t="s">
        <v>48</v>
      </c>
      <c r="C1065">
        <v>51512692</v>
      </c>
      <c r="D1065">
        <v>25872</v>
      </c>
    </row>
    <row r="1066" spans="1:4" x14ac:dyDescent="0.25">
      <c r="A1066" t="str">
        <f>T("   200290")</f>
        <v xml:space="preserve">   200290</v>
      </c>
      <c r="B1066"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066">
        <v>28931834</v>
      </c>
      <c r="D1066">
        <v>164140</v>
      </c>
    </row>
    <row r="1067" spans="1:4" x14ac:dyDescent="0.25">
      <c r="A1067" t="str">
        <f>T("   210390")</f>
        <v xml:space="preserve">   210390</v>
      </c>
      <c r="B1067"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067">
        <v>16821628</v>
      </c>
      <c r="D1067">
        <v>32370</v>
      </c>
    </row>
    <row r="1068" spans="1:4" x14ac:dyDescent="0.25">
      <c r="A1068" t="str">
        <f>T("   210410")</f>
        <v xml:space="preserve">   210410</v>
      </c>
      <c r="B1068" t="str">
        <f>T("   Préparations pour soupes, potages ou bouillons; soupes, potages ou bouillons préparés")</f>
        <v xml:space="preserve">   Préparations pour soupes, potages ou bouillons; soupes, potages ou bouillons préparés</v>
      </c>
      <c r="C1068">
        <v>8000000</v>
      </c>
      <c r="D1068">
        <v>41000</v>
      </c>
    </row>
    <row r="1069" spans="1:4" x14ac:dyDescent="0.25">
      <c r="A1069" t="str">
        <f>T("   210690")</f>
        <v xml:space="preserve">   210690</v>
      </c>
      <c r="B1069" t="str">
        <f>T("   Préparations alimentaires, n.d.a.")</f>
        <v xml:space="preserve">   Préparations alimentaires, n.d.a.</v>
      </c>
      <c r="C1069">
        <v>6197483</v>
      </c>
      <c r="D1069">
        <v>3590</v>
      </c>
    </row>
    <row r="1070" spans="1:4" x14ac:dyDescent="0.25">
      <c r="A1070" t="str">
        <f>T("   281511")</f>
        <v xml:space="preserve">   281511</v>
      </c>
      <c r="B1070" t="str">
        <f>T("   Hydroxyde de sodium [soude caustique], solide")</f>
        <v xml:space="preserve">   Hydroxyde de sodium [soude caustique], solide</v>
      </c>
      <c r="C1070">
        <v>1500000</v>
      </c>
      <c r="D1070">
        <v>40000</v>
      </c>
    </row>
    <row r="1071" spans="1:4" x14ac:dyDescent="0.25">
      <c r="A1071" t="str">
        <f>T("   292242")</f>
        <v xml:space="preserve">   292242</v>
      </c>
      <c r="B1071" t="str">
        <f>T("   Acide glutamique et ses sels")</f>
        <v xml:space="preserve">   Acide glutamique et ses sels</v>
      </c>
      <c r="C1071">
        <v>12000480</v>
      </c>
      <c r="D1071">
        <v>36200</v>
      </c>
    </row>
    <row r="1072" spans="1:4" x14ac:dyDescent="0.25">
      <c r="A1072" t="str">
        <f>T("   300490")</f>
        <v xml:space="preserve">   300490</v>
      </c>
      <c r="B1072" t="s">
        <v>79</v>
      </c>
      <c r="C1072">
        <v>63129590</v>
      </c>
      <c r="D1072">
        <v>11235</v>
      </c>
    </row>
    <row r="1073" spans="1:4" x14ac:dyDescent="0.25">
      <c r="A1073" t="str">
        <f>T("   320910")</f>
        <v xml:space="preserve">   320910</v>
      </c>
      <c r="B1073" t="str">
        <f>T("   Peintures et vernis à base de polymères acryliques ou vinyliques, dispersés ou dissous dans un milieu aqueux")</f>
        <v xml:space="preserve">   Peintures et vernis à base de polymères acryliques ou vinyliques, dispersés ou dissous dans un milieu aqueux</v>
      </c>
      <c r="C1073">
        <v>5249946</v>
      </c>
      <c r="D1073">
        <v>8175</v>
      </c>
    </row>
    <row r="1074" spans="1:4" x14ac:dyDescent="0.25">
      <c r="A1074" t="str">
        <f>T("   321410")</f>
        <v xml:space="preserve">   321410</v>
      </c>
      <c r="B1074" t="str">
        <f>T("   Mastic de vitrier, ciments de résine et autres mastics; enduits utilisés en peinture")</f>
        <v xml:space="preserve">   Mastic de vitrier, ciments de résine et autres mastics; enduits utilisés en peinture</v>
      </c>
      <c r="C1074">
        <v>3499969</v>
      </c>
      <c r="D1074">
        <v>8175</v>
      </c>
    </row>
    <row r="1075" spans="1:4" x14ac:dyDescent="0.25">
      <c r="A1075" t="str">
        <f>T("   340220")</f>
        <v xml:space="preserve">   340220</v>
      </c>
      <c r="B1075" t="s">
        <v>100</v>
      </c>
      <c r="C1075">
        <v>7991390</v>
      </c>
      <c r="D1075">
        <v>24347</v>
      </c>
    </row>
    <row r="1076" spans="1:4" x14ac:dyDescent="0.25">
      <c r="A1076" t="str">
        <f>T("   392329")</f>
        <v xml:space="preserve">   392329</v>
      </c>
      <c r="B1076" t="str">
        <f>T("   Sacs, sachets, pochettes et cornets, en matières plastiques (autres que les polymères de l'éthylène)")</f>
        <v xml:space="preserve">   Sacs, sachets, pochettes et cornets, en matières plastiques (autres que les polymères de l'éthylène)</v>
      </c>
      <c r="C1076">
        <v>1000000</v>
      </c>
      <c r="D1076">
        <v>8420</v>
      </c>
    </row>
    <row r="1077" spans="1:4" x14ac:dyDescent="0.25">
      <c r="A1077" t="str">
        <f>T("   392490")</f>
        <v xml:space="preserve">   392490</v>
      </c>
      <c r="B1077" t="s">
        <v>143</v>
      </c>
      <c r="C1077">
        <v>1328947</v>
      </c>
      <c r="D1077">
        <v>1692</v>
      </c>
    </row>
    <row r="1078" spans="1:4" x14ac:dyDescent="0.25">
      <c r="A1078" t="str">
        <f>T("   392690")</f>
        <v xml:space="preserve">   392690</v>
      </c>
      <c r="B1078" t="str">
        <f>T("   Ouvrages en matières plastiques et ouvrages en autres matières du n° 3901 à 3914, n.d.a.")</f>
        <v xml:space="preserve">   Ouvrages en matières plastiques et ouvrages en autres matières du n° 3901 à 3914, n.d.a.</v>
      </c>
      <c r="C1078">
        <v>38933</v>
      </c>
      <c r="D1078">
        <v>19</v>
      </c>
    </row>
    <row r="1079" spans="1:4" x14ac:dyDescent="0.25">
      <c r="A1079" t="str">
        <f>T("   401120")</f>
        <v xml:space="preserve">   401120</v>
      </c>
      <c r="B1079"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079">
        <v>43362015</v>
      </c>
      <c r="D1079">
        <v>55620</v>
      </c>
    </row>
    <row r="1080" spans="1:4" x14ac:dyDescent="0.25">
      <c r="A1080" t="str">
        <f>T("   410449")</f>
        <v xml:space="preserve">   410449</v>
      </c>
      <c r="B1080" t="str">
        <f>T("   CUIRS ET PEAUX DE BOVINS [Y. C. LES BUFFLES] OU D'ÉQUIDÉS, À L'ÉTAT SEC [EN CROÛTE], ÉPILÉS, MÊME REFENDUS (SAUF AUTREMENT PRÉPARÉS, PLEINE FLEUR NON-REFENDUE AINSI QUE CÔTÉS FLEUR)")</f>
        <v xml:space="preserve">   CUIRS ET PEAUX DE BOVINS [Y. C. LES BUFFLES] OU D'ÉQUIDÉS, À L'ÉTAT SEC [EN CROÛTE], ÉPILÉS, MÊME REFENDUS (SAUF AUTREMENT PRÉPARÉS, PLEINE FLEUR NON-REFENDUE AINSI QUE CÔTÉS FLEUR)</v>
      </c>
      <c r="C1080">
        <v>2507080</v>
      </c>
      <c r="D1080">
        <v>2315</v>
      </c>
    </row>
    <row r="1081" spans="1:4" x14ac:dyDescent="0.25">
      <c r="A1081" t="str">
        <f>T("   441129")</f>
        <v xml:space="preserve">   441129</v>
      </c>
      <c r="B1081" t="s">
        <v>173</v>
      </c>
      <c r="C1081">
        <v>7315188</v>
      </c>
      <c r="D1081">
        <v>46047</v>
      </c>
    </row>
    <row r="1082" spans="1:4" x14ac:dyDescent="0.25">
      <c r="A1082" t="str">
        <f>T("   441199")</f>
        <v xml:space="preserve">   441199</v>
      </c>
      <c r="B1082" t="s">
        <v>175</v>
      </c>
      <c r="C1082">
        <v>14552140</v>
      </c>
      <c r="D1082">
        <v>93724</v>
      </c>
    </row>
    <row r="1083" spans="1:4" x14ac:dyDescent="0.25">
      <c r="A1083" t="str">
        <f>T("   480256")</f>
        <v xml:space="preserve">   480256</v>
      </c>
      <c r="B1083" t="s">
        <v>188</v>
      </c>
      <c r="C1083">
        <v>153392</v>
      </c>
      <c r="D1083">
        <v>8511</v>
      </c>
    </row>
    <row r="1084" spans="1:4" x14ac:dyDescent="0.25">
      <c r="A1084" t="str">
        <f>T("   480421")</f>
        <v xml:space="preserve">   480421</v>
      </c>
      <c r="B1084" t="str">
        <f>T("   PAPIERS KRAFT POUR SACS DE GRANDE CONTENANCE, ÉCRUS, NON-COUCHÉS NI ENDUITS, EN ROULEAUX D'UNE LARGEUR &gt; 36 CM (À L'EXCL. DES ARTICLES DU N° 4802, 4803 OU 4808)")</f>
        <v xml:space="preserve">   PAPIERS KRAFT POUR SACS DE GRANDE CONTENANCE, ÉCRUS, NON-COUCHÉS NI ENDUITS, EN ROULEAUX D'UNE LARGEUR &gt; 36 CM (À L'EXCL. DES ARTICLES DU N° 4802, 4803 OU 4808)</v>
      </c>
      <c r="C1084">
        <v>84073927</v>
      </c>
      <c r="D1084">
        <v>140192</v>
      </c>
    </row>
    <row r="1085" spans="1:4" x14ac:dyDescent="0.25">
      <c r="A1085" t="str">
        <f>T("   491110")</f>
        <v xml:space="preserve">   491110</v>
      </c>
      <c r="B1085" t="str">
        <f>T("   Imprimés publicitaires, catalogues commerciaux et simil.")</f>
        <v xml:space="preserve">   Imprimés publicitaires, catalogues commerciaux et simil.</v>
      </c>
      <c r="C1085">
        <v>1062013</v>
      </c>
      <c r="D1085">
        <v>316</v>
      </c>
    </row>
    <row r="1086" spans="1:4" x14ac:dyDescent="0.25">
      <c r="A1086" t="str">
        <f>T("   491199")</f>
        <v xml:space="preserve">   491199</v>
      </c>
      <c r="B1086" t="str">
        <f>T("   Imprimés, n.d.a.")</f>
        <v xml:space="preserve">   Imprimés, n.d.a.</v>
      </c>
      <c r="C1086">
        <v>22261</v>
      </c>
      <c r="D1086">
        <v>11</v>
      </c>
    </row>
    <row r="1087" spans="1:4" x14ac:dyDescent="0.25">
      <c r="A1087" t="str">
        <f>T("   581099")</f>
        <v xml:space="preserve">   581099</v>
      </c>
      <c r="B1087"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1087">
        <v>29667780</v>
      </c>
      <c r="D1087">
        <v>41040</v>
      </c>
    </row>
    <row r="1088" spans="1:4" x14ac:dyDescent="0.25">
      <c r="A1088" t="str">
        <f>T("   610990")</f>
        <v xml:space="preserve">   610990</v>
      </c>
      <c r="B1088" t="str">
        <f>T("   T-shirts et maillots de corps, en bonneterie, de matières textiles (sauf de coton)")</f>
        <v xml:space="preserve">   T-shirts et maillots de corps, en bonneterie, de matières textiles (sauf de coton)</v>
      </c>
      <c r="C1088">
        <v>1364762</v>
      </c>
      <c r="D1088">
        <v>584</v>
      </c>
    </row>
    <row r="1089" spans="1:4" x14ac:dyDescent="0.25">
      <c r="A1089" t="str">
        <f>T("   611120")</f>
        <v xml:space="preserve">   611120</v>
      </c>
      <c r="B1089" t="str">
        <f>T("   Vêtements et accessoires du vêtement, en bonneterie, de coton, pour bébés (sauf gants et bonnets)")</f>
        <v xml:space="preserve">   Vêtements et accessoires du vêtement, en bonneterie, de coton, pour bébés (sauf gants et bonnets)</v>
      </c>
      <c r="C1089">
        <v>100606</v>
      </c>
      <c r="D1089">
        <v>53</v>
      </c>
    </row>
    <row r="1090" spans="1:4" x14ac:dyDescent="0.25">
      <c r="A1090" t="str">
        <f>T("   650590")</f>
        <v xml:space="preserve">   650590</v>
      </c>
      <c r="B1090" t="s">
        <v>284</v>
      </c>
      <c r="C1090">
        <v>265023</v>
      </c>
      <c r="D1090">
        <v>138</v>
      </c>
    </row>
    <row r="1091" spans="1:4" x14ac:dyDescent="0.25">
      <c r="A1091" t="str">
        <f>T("   690890")</f>
        <v xml:space="preserve">   690890</v>
      </c>
      <c r="B1091" t="s">
        <v>307</v>
      </c>
      <c r="C1091">
        <v>15361691</v>
      </c>
      <c r="D1091">
        <v>91107</v>
      </c>
    </row>
    <row r="1092" spans="1:4" x14ac:dyDescent="0.25">
      <c r="A1092" t="str">
        <f>T("   691110")</f>
        <v xml:space="preserve">   691110</v>
      </c>
      <c r="B1092" t="s">
        <v>311</v>
      </c>
      <c r="C1092">
        <v>17679152</v>
      </c>
      <c r="D1092">
        <v>42358.75</v>
      </c>
    </row>
    <row r="1093" spans="1:4" x14ac:dyDescent="0.25">
      <c r="A1093" t="str">
        <f>T("   691190")</f>
        <v xml:space="preserve">   691190</v>
      </c>
      <c r="B1093" t="s">
        <v>312</v>
      </c>
      <c r="C1093">
        <v>20789</v>
      </c>
      <c r="D1093">
        <v>101.25</v>
      </c>
    </row>
    <row r="1094" spans="1:4" x14ac:dyDescent="0.25">
      <c r="A1094" t="str">
        <f>T("   691200")</f>
        <v xml:space="preserve">   691200</v>
      </c>
      <c r="B1094" t="s">
        <v>313</v>
      </c>
      <c r="C1094">
        <v>11829351</v>
      </c>
      <c r="D1094">
        <v>39434</v>
      </c>
    </row>
    <row r="1095" spans="1:4" x14ac:dyDescent="0.25">
      <c r="A1095" t="str">
        <f>T("   701090")</f>
        <v xml:space="preserve">   701090</v>
      </c>
      <c r="B1095" t="s">
        <v>320</v>
      </c>
      <c r="C1095">
        <v>260854</v>
      </c>
      <c r="D1095">
        <v>1360</v>
      </c>
    </row>
    <row r="1096" spans="1:4" x14ac:dyDescent="0.25">
      <c r="A1096" t="str">
        <f>T("   701329")</f>
        <v xml:space="preserve">   701329</v>
      </c>
      <c r="B1096" t="str">
        <f>T("   Verres à boire (autres qu'en vitrocérame, autres qu'en cristal au plomb)")</f>
        <v xml:space="preserve">   Verres à boire (autres qu'en vitrocérame, autres qu'en cristal au plomb)</v>
      </c>
      <c r="C1096">
        <v>12026508</v>
      </c>
      <c r="D1096">
        <v>12148</v>
      </c>
    </row>
    <row r="1097" spans="1:4" x14ac:dyDescent="0.25">
      <c r="A1097" t="str">
        <f>T("   720429")</f>
        <v xml:space="preserve">   720429</v>
      </c>
      <c r="B1097"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1097">
        <v>4367837</v>
      </c>
      <c r="D1097">
        <v>46720</v>
      </c>
    </row>
    <row r="1098" spans="1:4" x14ac:dyDescent="0.25">
      <c r="A1098" t="str">
        <f>T("   721041")</f>
        <v xml:space="preserve">   721041</v>
      </c>
      <c r="B1098"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1098">
        <v>33300000</v>
      </c>
      <c r="D1098">
        <v>192640</v>
      </c>
    </row>
    <row r="1099" spans="1:4" x14ac:dyDescent="0.25">
      <c r="A1099" t="str">
        <f>T("   721650")</f>
        <v xml:space="preserve">   721650</v>
      </c>
      <c r="B1099"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1099">
        <v>2129096</v>
      </c>
      <c r="D1099">
        <v>5000</v>
      </c>
    </row>
    <row r="1100" spans="1:4" x14ac:dyDescent="0.25">
      <c r="A1100" t="str">
        <f>T("   721661")</f>
        <v xml:space="preserve">   721661</v>
      </c>
      <c r="B1100"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1100">
        <v>1824940</v>
      </c>
      <c r="D1100">
        <v>5000</v>
      </c>
    </row>
    <row r="1101" spans="1:4" x14ac:dyDescent="0.25">
      <c r="A1101" t="str">
        <f>T("   731700")</f>
        <v xml:space="preserve">   731700</v>
      </c>
      <c r="B1101"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1101">
        <v>3500000</v>
      </c>
      <c r="D1101">
        <v>12000</v>
      </c>
    </row>
    <row r="1102" spans="1:4" x14ac:dyDescent="0.25">
      <c r="A1102" t="str">
        <f>T("   732399")</f>
        <v xml:space="preserve">   732399</v>
      </c>
      <c r="B1102" t="s">
        <v>363</v>
      </c>
      <c r="C1102">
        <v>700000</v>
      </c>
      <c r="D1102">
        <v>1020</v>
      </c>
    </row>
    <row r="1103" spans="1:4" x14ac:dyDescent="0.25">
      <c r="A1103" t="str">
        <f>T("   848180")</f>
        <v xml:space="preserve">   848180</v>
      </c>
      <c r="B1103"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103">
        <v>5320785</v>
      </c>
      <c r="D1103">
        <v>13088</v>
      </c>
    </row>
    <row r="1104" spans="1:4" x14ac:dyDescent="0.25">
      <c r="A1104" t="str">
        <f>T("   850610")</f>
        <v xml:space="preserve">   850610</v>
      </c>
      <c r="B1104" t="str">
        <f>T("   Piles et batteries de piles électriques, au bioxyde de manganèse (sauf hors d'usage)")</f>
        <v xml:space="preserve">   Piles et batteries de piles électriques, au bioxyde de manganèse (sauf hors d'usage)</v>
      </c>
      <c r="C1104">
        <v>40676583</v>
      </c>
      <c r="D1104">
        <v>114570</v>
      </c>
    </row>
    <row r="1105" spans="1:4" x14ac:dyDescent="0.25">
      <c r="A1105" t="str">
        <f>T("   870210")</f>
        <v xml:space="preserve">   870210</v>
      </c>
      <c r="B1105" t="s">
        <v>469</v>
      </c>
      <c r="C1105">
        <v>156531368</v>
      </c>
      <c r="D1105">
        <v>503360</v>
      </c>
    </row>
    <row r="1106" spans="1:4" x14ac:dyDescent="0.25">
      <c r="A1106" t="str">
        <f>T("   870290")</f>
        <v xml:space="preserve">   870290</v>
      </c>
      <c r="B1106" t="s">
        <v>470</v>
      </c>
      <c r="C1106">
        <v>1200000</v>
      </c>
      <c r="D1106">
        <v>1830</v>
      </c>
    </row>
    <row r="1107" spans="1:4" x14ac:dyDescent="0.25">
      <c r="A1107" t="str">
        <f>T("   870321")</f>
        <v xml:space="preserve">   870321</v>
      </c>
      <c r="B1107" t="s">
        <v>471</v>
      </c>
      <c r="C1107">
        <v>6544087</v>
      </c>
      <c r="D1107">
        <v>2014</v>
      </c>
    </row>
    <row r="1108" spans="1:4" x14ac:dyDescent="0.25">
      <c r="A1108" t="str">
        <f>T("   870322")</f>
        <v xml:space="preserve">   870322</v>
      </c>
      <c r="B1108" t="s">
        <v>472</v>
      </c>
      <c r="C1108">
        <v>4816195</v>
      </c>
      <c r="D1108">
        <v>4445</v>
      </c>
    </row>
    <row r="1109" spans="1:4" x14ac:dyDescent="0.25">
      <c r="A1109" t="str">
        <f>T("   870323")</f>
        <v xml:space="preserve">   870323</v>
      </c>
      <c r="B1109" t="s">
        <v>473</v>
      </c>
      <c r="C1109">
        <v>11491458</v>
      </c>
      <c r="D1109">
        <v>2250</v>
      </c>
    </row>
    <row r="1110" spans="1:4" x14ac:dyDescent="0.25">
      <c r="A1110" t="str">
        <f>T("   870332")</f>
        <v xml:space="preserve">   870332</v>
      </c>
      <c r="B1110" t="s">
        <v>476</v>
      </c>
      <c r="C1110">
        <v>5341397</v>
      </c>
      <c r="D1110">
        <v>1147</v>
      </c>
    </row>
    <row r="1111" spans="1:4" x14ac:dyDescent="0.25">
      <c r="A1111" t="str">
        <f>T("   870422")</f>
        <v xml:space="preserve">   870422</v>
      </c>
      <c r="B1111" t="s">
        <v>479</v>
      </c>
      <c r="C1111">
        <v>4000220</v>
      </c>
      <c r="D1111">
        <v>19570</v>
      </c>
    </row>
    <row r="1112" spans="1:4" x14ac:dyDescent="0.25">
      <c r="A1112" t="str">
        <f>T("   870899")</f>
        <v xml:space="preserve">   870899</v>
      </c>
      <c r="B111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112">
        <v>1800610</v>
      </c>
      <c r="D1112">
        <v>16760</v>
      </c>
    </row>
    <row r="1113" spans="1:4" x14ac:dyDescent="0.25">
      <c r="A1113" t="str">
        <f>T("   910521")</f>
        <v xml:space="preserve">   910521</v>
      </c>
      <c r="B1113" t="str">
        <f>T("   PENDULES ET HORLOGES, MURALES, FONCTIONNANT ÉLECTRIQUEMENT [01/01/1988-31/12/1994: PENDULES ET HORLOGES MURALES, A PILE OU A ACCUMULATEUR OU FONCTIONNANT SUR SECTEUR]")</f>
        <v xml:space="preserve">   PENDULES ET HORLOGES, MURALES, FONCTIONNANT ÉLECTRIQUEMENT [01/01/1988-31/12/1994: PENDULES ET HORLOGES MURALES, A PILE OU A ACCUMULATEUR OU FONCTIONNANT SUR SECTEUR]</v>
      </c>
      <c r="C1113">
        <v>37960</v>
      </c>
      <c r="D1113">
        <v>20</v>
      </c>
    </row>
    <row r="1114" spans="1:4" x14ac:dyDescent="0.25">
      <c r="A1114" t="str">
        <f>T("   940320")</f>
        <v xml:space="preserve">   940320</v>
      </c>
      <c r="B1114"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1114">
        <v>61836</v>
      </c>
      <c r="D1114">
        <v>300</v>
      </c>
    </row>
    <row r="1115" spans="1:4" x14ac:dyDescent="0.25">
      <c r="A1115" t="str">
        <f>T("   940370")</f>
        <v xml:space="preserve">   940370</v>
      </c>
      <c r="B1115"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115">
        <v>396629</v>
      </c>
      <c r="D1115">
        <v>181</v>
      </c>
    </row>
    <row r="1116" spans="1:4" x14ac:dyDescent="0.25">
      <c r="A1116" t="str">
        <f>T("   961700")</f>
        <v xml:space="preserve">   961700</v>
      </c>
      <c r="B1116"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1116">
        <v>700000</v>
      </c>
      <c r="D1116">
        <v>3160</v>
      </c>
    </row>
    <row r="1117" spans="1:4" x14ac:dyDescent="0.25">
      <c r="A1117" t="str">
        <f>T("CA")</f>
        <v>CA</v>
      </c>
      <c r="B1117" t="str">
        <f>T("Canada")</f>
        <v>Canada</v>
      </c>
    </row>
    <row r="1118" spans="1:4" x14ac:dyDescent="0.25">
      <c r="A1118" t="str">
        <f>T("   ZZ_Total_Produit_SH6")</f>
        <v xml:space="preserve">   ZZ_Total_Produit_SH6</v>
      </c>
      <c r="B1118" t="str">
        <f>T("   ZZ_Total_Produit_SH6")</f>
        <v xml:space="preserve">   ZZ_Total_Produit_SH6</v>
      </c>
      <c r="C1118">
        <v>3099836050</v>
      </c>
      <c r="D1118">
        <v>4179961.3</v>
      </c>
    </row>
    <row r="1119" spans="1:4" x14ac:dyDescent="0.25">
      <c r="A1119" t="str">
        <f>T("   020712")</f>
        <v xml:space="preserve">   020712</v>
      </c>
      <c r="B1119" t="str">
        <f>T("   COQS ET POULES [DES ESPÈCES DOMESTIQUES], NON-DÉCOUPÉS EN MORCEAUX, CONGELÉS")</f>
        <v xml:space="preserve">   COQS ET POULES [DES ESPÈCES DOMESTIQUES], NON-DÉCOUPÉS EN MORCEAUX, CONGELÉS</v>
      </c>
      <c r="C1119">
        <v>32966064</v>
      </c>
      <c r="D1119">
        <v>53000</v>
      </c>
    </row>
    <row r="1120" spans="1:4" x14ac:dyDescent="0.25">
      <c r="A1120" t="str">
        <f>T("   020714")</f>
        <v xml:space="preserve">   020714</v>
      </c>
      <c r="B1120" t="str">
        <f>T("   Morceaux et abats comestibles de coqs et de poules [des espèces domestiques], congelés")</f>
        <v xml:space="preserve">   Morceaux et abats comestibles de coqs et de poules [des espèces domestiques], congelés</v>
      </c>
      <c r="C1120">
        <v>1239842311</v>
      </c>
      <c r="D1120">
        <v>2038333</v>
      </c>
    </row>
    <row r="1121" spans="1:4" x14ac:dyDescent="0.25">
      <c r="A1121" t="str">
        <f>T("   020727")</f>
        <v xml:space="preserve">   020727</v>
      </c>
      <c r="B1121" t="str">
        <f>T("   Morceaux et abats comestibles de dindes et dindons [des espèces domestiques], congelés")</f>
        <v xml:space="preserve">   Morceaux et abats comestibles de dindes et dindons [des espèces domestiques], congelés</v>
      </c>
      <c r="C1121">
        <v>164414111</v>
      </c>
      <c r="D1121">
        <v>269834</v>
      </c>
    </row>
    <row r="1122" spans="1:4" x14ac:dyDescent="0.25">
      <c r="A1122" t="str">
        <f>T("   030379")</f>
        <v xml:space="preserve">   030379</v>
      </c>
      <c r="B1122" t="s">
        <v>17</v>
      </c>
      <c r="C1122">
        <v>21200629</v>
      </c>
      <c r="D1122">
        <v>105300</v>
      </c>
    </row>
    <row r="1123" spans="1:4" x14ac:dyDescent="0.25">
      <c r="A1123" t="str">
        <f>T("   382200")</f>
        <v xml:space="preserve">   382200</v>
      </c>
      <c r="B1123" t="s">
        <v>122</v>
      </c>
      <c r="C1123">
        <v>794197</v>
      </c>
      <c r="D1123">
        <v>20</v>
      </c>
    </row>
    <row r="1124" spans="1:4" x14ac:dyDescent="0.25">
      <c r="A1124" t="str">
        <f>T("   391890")</f>
        <v xml:space="preserve">   391890</v>
      </c>
      <c r="B1124" t="s">
        <v>126</v>
      </c>
      <c r="C1124">
        <v>527285</v>
      </c>
      <c r="D1124">
        <v>2000</v>
      </c>
    </row>
    <row r="1125" spans="1:4" x14ac:dyDescent="0.25">
      <c r="A1125" t="str">
        <f>T("   401120")</f>
        <v xml:space="preserve">   401120</v>
      </c>
      <c r="B1125"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125">
        <v>1400000</v>
      </c>
      <c r="D1125">
        <v>7200</v>
      </c>
    </row>
    <row r="1126" spans="1:4" x14ac:dyDescent="0.25">
      <c r="A1126" t="str">
        <f>T("   420211")</f>
        <v xml:space="preserve">   420211</v>
      </c>
      <c r="B1126"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1126">
        <v>78867</v>
      </c>
      <c r="D1126">
        <v>127</v>
      </c>
    </row>
    <row r="1127" spans="1:4" x14ac:dyDescent="0.25">
      <c r="A1127" t="str">
        <f>T("   420229")</f>
        <v xml:space="preserve">   420229</v>
      </c>
      <c r="B1127"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127">
        <v>535121</v>
      </c>
      <c r="D1127">
        <v>5945</v>
      </c>
    </row>
    <row r="1128" spans="1:4" x14ac:dyDescent="0.25">
      <c r="A1128" t="str">
        <f>T("   420330")</f>
        <v xml:space="preserve">   420330</v>
      </c>
      <c r="B1128" t="str">
        <f>T("   Ceintures, ceinturons et baudriers, en cuir naturel ou reconstitué")</f>
        <v xml:space="preserve">   Ceintures, ceinturons et baudriers, en cuir naturel ou reconstitué</v>
      </c>
      <c r="C1128">
        <v>77621</v>
      </c>
      <c r="D1128">
        <v>111</v>
      </c>
    </row>
    <row r="1129" spans="1:4" x14ac:dyDescent="0.25">
      <c r="A1129" t="str">
        <f>T("   490199")</f>
        <v xml:space="preserve">   490199</v>
      </c>
      <c r="B112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29">
        <v>1815231</v>
      </c>
      <c r="D1129">
        <v>498</v>
      </c>
    </row>
    <row r="1130" spans="1:4" x14ac:dyDescent="0.25">
      <c r="A1130" t="str">
        <f>T("   491199")</f>
        <v xml:space="preserve">   491199</v>
      </c>
      <c r="B1130" t="str">
        <f>T("   Imprimés, n.d.a.")</f>
        <v xml:space="preserve">   Imprimés, n.d.a.</v>
      </c>
      <c r="C1130">
        <v>59958679</v>
      </c>
      <c r="D1130">
        <v>5366</v>
      </c>
    </row>
    <row r="1131" spans="1:4" x14ac:dyDescent="0.25">
      <c r="A1131" t="str">
        <f>T("   630900")</f>
        <v xml:space="preserve">   630900</v>
      </c>
      <c r="B1131" t="s">
        <v>273</v>
      </c>
      <c r="C1131">
        <v>564972805</v>
      </c>
      <c r="D1131">
        <v>1203922</v>
      </c>
    </row>
    <row r="1132" spans="1:4" x14ac:dyDescent="0.25">
      <c r="A1132" t="str">
        <f>T("   730431")</f>
        <v xml:space="preserve">   730431</v>
      </c>
      <c r="B1132" t="s">
        <v>343</v>
      </c>
      <c r="C1132">
        <v>10904254</v>
      </c>
      <c r="D1132">
        <v>29760</v>
      </c>
    </row>
    <row r="1133" spans="1:4" x14ac:dyDescent="0.25">
      <c r="A1133" t="str">
        <f>T("   730799")</f>
        <v xml:space="preserve">   730799</v>
      </c>
      <c r="B1133"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1133">
        <v>14485802</v>
      </c>
      <c r="D1133">
        <v>2267</v>
      </c>
    </row>
    <row r="1134" spans="1:4" x14ac:dyDescent="0.25">
      <c r="A1134" t="str">
        <f>T("   730890")</f>
        <v xml:space="preserve">   730890</v>
      </c>
      <c r="B1134" t="s">
        <v>349</v>
      </c>
      <c r="C1134">
        <v>36149568</v>
      </c>
      <c r="D1134">
        <v>229393</v>
      </c>
    </row>
    <row r="1135" spans="1:4" x14ac:dyDescent="0.25">
      <c r="A1135" t="str">
        <f>T("   731210")</f>
        <v xml:space="preserve">   731210</v>
      </c>
      <c r="B1135"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1135">
        <v>19653</v>
      </c>
      <c r="D1135">
        <v>1</v>
      </c>
    </row>
    <row r="1136" spans="1:4" x14ac:dyDescent="0.25">
      <c r="A1136" t="str">
        <f>T("   732399")</f>
        <v xml:space="preserve">   732399</v>
      </c>
      <c r="B1136" t="s">
        <v>363</v>
      </c>
      <c r="C1136">
        <v>100362</v>
      </c>
      <c r="D1136">
        <v>290</v>
      </c>
    </row>
    <row r="1137" spans="1:4" x14ac:dyDescent="0.25">
      <c r="A1137" t="str">
        <f>T("   841229")</f>
        <v xml:space="preserve">   841229</v>
      </c>
      <c r="B1137" t="str">
        <f>T("   Moteurs hydrauliques (autres que turbines hydrauliques ou roues hydrauliques du n° 8410, turbines à vapeur et moteurs hydrauliques, à mouvement rectiligne -cylindres-)")</f>
        <v xml:space="preserve">   Moteurs hydrauliques (autres que turbines hydrauliques ou roues hydrauliques du n° 8410, turbines à vapeur et moteurs hydrauliques, à mouvement rectiligne -cylindres-)</v>
      </c>
      <c r="C1137">
        <v>1196896</v>
      </c>
      <c r="D1137">
        <v>187</v>
      </c>
    </row>
    <row r="1138" spans="1:4" x14ac:dyDescent="0.25">
      <c r="A1138" t="str">
        <f>T("   841381")</f>
        <v xml:space="preserve">   841381</v>
      </c>
      <c r="B1138" t="s">
        <v>398</v>
      </c>
      <c r="C1138">
        <v>40861363</v>
      </c>
      <c r="D1138">
        <v>6395</v>
      </c>
    </row>
    <row r="1139" spans="1:4" x14ac:dyDescent="0.25">
      <c r="A1139" t="str">
        <f>T("   841480")</f>
        <v xml:space="preserve">   841480</v>
      </c>
      <c r="B1139" t="s">
        <v>399</v>
      </c>
      <c r="C1139">
        <v>10202780</v>
      </c>
      <c r="D1139">
        <v>1597</v>
      </c>
    </row>
    <row r="1140" spans="1:4" x14ac:dyDescent="0.25">
      <c r="A1140" t="str">
        <f>T("   841810")</f>
        <v xml:space="preserve">   841810</v>
      </c>
      <c r="B1140" t="str">
        <f>T("   Réfrigérateurs et congélateurs-conservateurs combinés, avec portes extérieures séparées")</f>
        <v xml:space="preserve">   Réfrigérateurs et congélateurs-conservateurs combinés, avec portes extérieures séparées</v>
      </c>
      <c r="C1140">
        <v>50509</v>
      </c>
      <c r="D1140">
        <v>50</v>
      </c>
    </row>
    <row r="1141" spans="1:4" x14ac:dyDescent="0.25">
      <c r="A1141" t="str">
        <f>T("   842123")</f>
        <v xml:space="preserve">   842123</v>
      </c>
      <c r="B1141"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1141">
        <v>9930700</v>
      </c>
      <c r="D1141">
        <v>1554</v>
      </c>
    </row>
    <row r="1142" spans="1:4" x14ac:dyDescent="0.25">
      <c r="A1142" t="str">
        <f>T("   842951")</f>
        <v xml:space="preserve">   842951</v>
      </c>
      <c r="B1142" t="str">
        <f>T("   Chargeuses et chargeuses-pelleteuses, à chargement frontal, autopropulsées")</f>
        <v xml:space="preserve">   Chargeuses et chargeuses-pelleteuses, à chargement frontal, autopropulsées</v>
      </c>
      <c r="C1142">
        <v>83215160</v>
      </c>
      <c r="D1142">
        <v>54000</v>
      </c>
    </row>
    <row r="1143" spans="1:4" x14ac:dyDescent="0.25">
      <c r="A1143" t="str">
        <f>T("   843049")</f>
        <v xml:space="preserve">   843049</v>
      </c>
      <c r="B1143"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1143">
        <v>220501000</v>
      </c>
      <c r="D1143">
        <v>15424</v>
      </c>
    </row>
    <row r="1144" spans="1:4" x14ac:dyDescent="0.25">
      <c r="A1144" t="str">
        <f>T("   843143")</f>
        <v xml:space="preserve">   843143</v>
      </c>
      <c r="B1144" t="str">
        <f>T("   Parties de machines de sondage ou de forage du n° 8430.41 ou 8430.49, n.d.a.")</f>
        <v xml:space="preserve">   Parties de machines de sondage ou de forage du n° 8430.41 ou 8430.49, n.d.a.</v>
      </c>
      <c r="C1144">
        <v>53292728</v>
      </c>
      <c r="D1144">
        <v>8341</v>
      </c>
    </row>
    <row r="1145" spans="1:4" x14ac:dyDescent="0.25">
      <c r="A1145" t="str">
        <f>T("   847110")</f>
        <v xml:space="preserve">   847110</v>
      </c>
      <c r="B1145" t="str">
        <f>T("   Machines automatiques de traitement de l'information, analogiques ou hybrides")</f>
        <v xml:space="preserve">   Machines automatiques de traitement de l'information, analogiques ou hybrides</v>
      </c>
      <c r="C1145">
        <v>250000</v>
      </c>
      <c r="D1145">
        <v>50</v>
      </c>
    </row>
    <row r="1146" spans="1:4" x14ac:dyDescent="0.25">
      <c r="A1146" t="str">
        <f>T("   847141")</f>
        <v xml:space="preserve">   847141</v>
      </c>
      <c r="B1146" t="s">
        <v>434</v>
      </c>
      <c r="C1146">
        <v>67962736</v>
      </c>
      <c r="D1146">
        <v>243.3</v>
      </c>
    </row>
    <row r="1147" spans="1:4" x14ac:dyDescent="0.25">
      <c r="A1147" t="str">
        <f>T("   847190")</f>
        <v xml:space="preserve">   847190</v>
      </c>
      <c r="B114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147">
        <v>57646415</v>
      </c>
      <c r="D1147">
        <v>1693</v>
      </c>
    </row>
    <row r="1148" spans="1:4" x14ac:dyDescent="0.25">
      <c r="A1148" t="str">
        <f>T("   847330")</f>
        <v xml:space="preserve">   847330</v>
      </c>
      <c r="B1148" t="str">
        <f>T("   Parties et accessoires pour machines automatiques de traitement de l'information ou pour autres machines du n° 8471, n.d.a.")</f>
        <v xml:space="preserve">   Parties et accessoires pour machines automatiques de traitement de l'information ou pour autres machines du n° 8471, n.d.a.</v>
      </c>
      <c r="C1148">
        <v>88448334</v>
      </c>
      <c r="D1148">
        <v>350</v>
      </c>
    </row>
    <row r="1149" spans="1:4" x14ac:dyDescent="0.25">
      <c r="A1149" t="str">
        <f>T("   848410")</f>
        <v xml:space="preserve">   848410</v>
      </c>
      <c r="B1149" t="str">
        <f>T("   Joints métalloplastiques")</f>
        <v xml:space="preserve">   Joints métalloplastiques</v>
      </c>
      <c r="C1149">
        <v>6922920</v>
      </c>
      <c r="D1149">
        <v>1083</v>
      </c>
    </row>
    <row r="1150" spans="1:4" x14ac:dyDescent="0.25">
      <c r="A1150" t="str">
        <f>T("   850239")</f>
        <v xml:space="preserve">   850239</v>
      </c>
      <c r="B1150" t="str">
        <f>T("   Groupes électrogènes (autres qu'à énergie éolienne et à moteurs à piston)")</f>
        <v xml:space="preserve">   Groupes électrogènes (autres qu'à énergie éolienne et à moteurs à piston)</v>
      </c>
      <c r="C1150">
        <v>1400000</v>
      </c>
      <c r="D1150">
        <v>2800</v>
      </c>
    </row>
    <row r="1151" spans="1:4" x14ac:dyDescent="0.25">
      <c r="A1151" t="str">
        <f>T("   850980")</f>
        <v xml:space="preserve">   850980</v>
      </c>
      <c r="B1151" t="s">
        <v>447</v>
      </c>
      <c r="C1151">
        <v>1205565</v>
      </c>
      <c r="D1151">
        <v>6608</v>
      </c>
    </row>
    <row r="1152" spans="1:4" x14ac:dyDescent="0.25">
      <c r="A1152" t="str">
        <f>T("   851719")</f>
        <v xml:space="preserve">   851719</v>
      </c>
      <c r="B1152"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1152">
        <v>37558031</v>
      </c>
      <c r="D1152">
        <v>170</v>
      </c>
    </row>
    <row r="1153" spans="1:4" x14ac:dyDescent="0.25">
      <c r="A1153" t="str">
        <f>T("   851780")</f>
        <v xml:space="preserve">   851780</v>
      </c>
      <c r="B1153" t="s">
        <v>453</v>
      </c>
      <c r="C1153">
        <v>93987593</v>
      </c>
      <c r="D1153">
        <v>455</v>
      </c>
    </row>
    <row r="1154" spans="1:4" x14ac:dyDescent="0.25">
      <c r="A1154" t="str">
        <f>T("   852812")</f>
        <v xml:space="preserve">   852812</v>
      </c>
      <c r="B115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154">
        <v>2200000</v>
      </c>
      <c r="D1154">
        <v>13800</v>
      </c>
    </row>
    <row r="1155" spans="1:4" x14ac:dyDescent="0.25">
      <c r="A1155" t="str">
        <f>T("   852990")</f>
        <v xml:space="preserve">   852990</v>
      </c>
      <c r="B1155" t="s">
        <v>464</v>
      </c>
      <c r="C1155">
        <v>49909462</v>
      </c>
      <c r="D1155">
        <v>1400</v>
      </c>
    </row>
    <row r="1156" spans="1:4" x14ac:dyDescent="0.25">
      <c r="A1156" t="str">
        <f>T("   853929")</f>
        <v xml:space="preserve">   853929</v>
      </c>
      <c r="B1156"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1156">
        <v>64294</v>
      </c>
      <c r="D1156">
        <v>10</v>
      </c>
    </row>
    <row r="1157" spans="1:4" x14ac:dyDescent="0.25">
      <c r="A1157" t="str">
        <f>T("   870120")</f>
        <v xml:space="preserve">   870120</v>
      </c>
      <c r="B1157" t="str">
        <f>T("   Tracteurs routiers pour semi-remorques")</f>
        <v xml:space="preserve">   Tracteurs routiers pour semi-remorques</v>
      </c>
      <c r="C1157">
        <v>2091200</v>
      </c>
      <c r="D1157">
        <v>9000</v>
      </c>
    </row>
    <row r="1158" spans="1:4" x14ac:dyDescent="0.25">
      <c r="A1158" t="str">
        <f>T("   870210")</f>
        <v xml:space="preserve">   870210</v>
      </c>
      <c r="B1158" t="s">
        <v>469</v>
      </c>
      <c r="C1158">
        <v>1200000</v>
      </c>
      <c r="D1158">
        <v>2450</v>
      </c>
    </row>
    <row r="1159" spans="1:4" x14ac:dyDescent="0.25">
      <c r="A1159" t="str">
        <f>T("   870322")</f>
        <v xml:space="preserve">   870322</v>
      </c>
      <c r="B1159" t="s">
        <v>472</v>
      </c>
      <c r="C1159">
        <v>30301371</v>
      </c>
      <c r="D1159">
        <v>20874</v>
      </c>
    </row>
    <row r="1160" spans="1:4" x14ac:dyDescent="0.25">
      <c r="A1160" t="str">
        <f>T("   870323")</f>
        <v xml:space="preserve">   870323</v>
      </c>
      <c r="B1160" t="s">
        <v>473</v>
      </c>
      <c r="C1160">
        <v>22766179</v>
      </c>
      <c r="D1160">
        <v>19211</v>
      </c>
    </row>
    <row r="1161" spans="1:4" x14ac:dyDescent="0.25">
      <c r="A1161" t="str">
        <f>T("   870324")</f>
        <v xml:space="preserve">   870324</v>
      </c>
      <c r="B1161" t="s">
        <v>474</v>
      </c>
      <c r="C1161">
        <v>1200000</v>
      </c>
      <c r="D1161">
        <v>1905</v>
      </c>
    </row>
    <row r="1162" spans="1:4" x14ac:dyDescent="0.25">
      <c r="A1162" t="str">
        <f>T("   870422")</f>
        <v xml:space="preserve">   870422</v>
      </c>
      <c r="B1162" t="s">
        <v>479</v>
      </c>
      <c r="C1162">
        <v>11798166</v>
      </c>
      <c r="D1162">
        <v>25918</v>
      </c>
    </row>
    <row r="1163" spans="1:4" x14ac:dyDescent="0.25">
      <c r="A1163" t="str">
        <f>T("   870840")</f>
        <v xml:space="preserve">   870840</v>
      </c>
      <c r="B1163"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1163">
        <v>28403599</v>
      </c>
      <c r="D1163">
        <v>4445</v>
      </c>
    </row>
    <row r="1164" spans="1:4" x14ac:dyDescent="0.25">
      <c r="A1164" t="str">
        <f>T("   871130")</f>
        <v xml:space="preserve">   871130</v>
      </c>
      <c r="B1164" t="str">
        <f>T("   Motocycles à moteur à piston alternatif, cylindrée &gt; 250 cm³ mais &lt;= 500 cm³")</f>
        <v xml:space="preserve">   Motocycles à moteur à piston alternatif, cylindrée &gt; 250 cm³ mais &lt;= 500 cm³</v>
      </c>
      <c r="C1164">
        <v>195000</v>
      </c>
      <c r="D1164">
        <v>950</v>
      </c>
    </row>
    <row r="1165" spans="1:4" x14ac:dyDescent="0.25">
      <c r="A1165" t="str">
        <f>T("   871200")</f>
        <v xml:space="preserve">   871200</v>
      </c>
      <c r="B1165" t="str">
        <f>T("   BICYCLETTES ET AUTRES CYCLES, -Y.C. LES TRIPORTEURS-, SANS MOTEUR")</f>
        <v xml:space="preserve">   BICYCLETTES ET AUTRES CYCLES, -Y.C. LES TRIPORTEURS-, SANS MOTEUR</v>
      </c>
      <c r="C1165">
        <v>200000</v>
      </c>
      <c r="D1165">
        <v>4000</v>
      </c>
    </row>
    <row r="1166" spans="1:4" x14ac:dyDescent="0.25">
      <c r="A1166" t="str">
        <f>T("   871620")</f>
        <v xml:space="preserve">   871620</v>
      </c>
      <c r="B1166" t="str">
        <f>T("   Remorques et semi-remorques autochargeuses ou autodéchargeuses, pour usages agricoles")</f>
        <v xml:space="preserve">   Remorques et semi-remorques autochargeuses ou autodéchargeuses, pour usages agricoles</v>
      </c>
      <c r="C1166">
        <v>17088828</v>
      </c>
      <c r="D1166">
        <v>8575</v>
      </c>
    </row>
    <row r="1167" spans="1:4" x14ac:dyDescent="0.25">
      <c r="A1167" t="str">
        <f>T("   901580")</f>
        <v xml:space="preserve">   901580</v>
      </c>
      <c r="B1167" t="s">
        <v>493</v>
      </c>
      <c r="C1167">
        <v>1212756</v>
      </c>
      <c r="D1167">
        <v>1</v>
      </c>
    </row>
    <row r="1168" spans="1:4" x14ac:dyDescent="0.25">
      <c r="A1168" t="str">
        <f>T("   901890")</f>
        <v xml:space="preserve">   901890</v>
      </c>
      <c r="B1168" t="str">
        <f>T("   Instruments et appareils pour la médecine, la chirurgie ou l'art vétérinaire, n.d.a.")</f>
        <v xml:space="preserve">   Instruments et appareils pour la médecine, la chirurgie ou l'art vétérinaire, n.d.a.</v>
      </c>
      <c r="C1168">
        <v>272370</v>
      </c>
      <c r="D1168">
        <v>60</v>
      </c>
    </row>
    <row r="1169" spans="1:4" x14ac:dyDescent="0.25">
      <c r="A1169" t="str">
        <f>T("   940380")</f>
        <v xml:space="preserve">   940380</v>
      </c>
      <c r="B1169" t="str">
        <f>T("   Meubles en rotin, osier, bambou ou autres matières (sauf métal, bois et matières plastiques)")</f>
        <v xml:space="preserve">   Meubles en rotin, osier, bambou ou autres matières (sauf métal, bois et matières plastiques)</v>
      </c>
      <c r="C1169">
        <v>820649</v>
      </c>
      <c r="D1169">
        <v>5360</v>
      </c>
    </row>
    <row r="1170" spans="1:4" x14ac:dyDescent="0.25">
      <c r="A1170" t="str">
        <f>T("   940429")</f>
        <v xml:space="preserve">   940429</v>
      </c>
      <c r="B1170"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170">
        <v>90000</v>
      </c>
      <c r="D1170">
        <v>20</v>
      </c>
    </row>
    <row r="1171" spans="1:4" x14ac:dyDescent="0.25">
      <c r="A1171" t="str">
        <f>T("   950341")</f>
        <v xml:space="preserve">   950341</v>
      </c>
      <c r="B1171" t="str">
        <f>T("   Jouets représentant des animaux ou des créatures non humaines, rembourrés")</f>
        <v xml:space="preserve">   Jouets représentant des animaux ou des créatures non humaines, rembourrés</v>
      </c>
      <c r="C1171">
        <v>1117586</v>
      </c>
      <c r="D1171">
        <v>1320</v>
      </c>
    </row>
    <row r="1172" spans="1:4" x14ac:dyDescent="0.25">
      <c r="A1172" t="str">
        <f>T("   950349")</f>
        <v xml:space="preserve">   950349</v>
      </c>
      <c r="B1172" t="str">
        <f>T("   JOUETS REPRÉSENTANT DES ANIMAUX OU DES CRÉATURES NON-HUMAINES, NON-REMBOURRÉS")</f>
        <v xml:space="preserve">   JOUETS REPRÉSENTANT DES ANIMAUX OU DES CRÉATURES NON-HUMAINES, NON-REMBOURRÉS</v>
      </c>
      <c r="C1172">
        <v>2667006</v>
      </c>
      <c r="D1172">
        <v>4312</v>
      </c>
    </row>
    <row r="1173" spans="1:4" x14ac:dyDescent="0.25">
      <c r="A1173" t="str">
        <f>T("   950390")</f>
        <v xml:space="preserve">   950390</v>
      </c>
      <c r="B1173" t="str">
        <f>T("   Jouets, n.d.a.")</f>
        <v xml:space="preserve">   Jouets, n.d.a.</v>
      </c>
      <c r="C1173">
        <v>1362294</v>
      </c>
      <c r="D1173">
        <v>1983</v>
      </c>
    </row>
    <row r="1174" spans="1:4" x14ac:dyDescent="0.25">
      <c r="A1174" t="str">
        <f>T("CD")</f>
        <v>CD</v>
      </c>
      <c r="B1174" t="str">
        <f>T("Congo, République Démocratique")</f>
        <v>Congo, République Démocratique</v>
      </c>
    </row>
    <row r="1175" spans="1:4" x14ac:dyDescent="0.25">
      <c r="A1175" t="str">
        <f>T("   ZZ_Total_Produit_SH6")</f>
        <v xml:space="preserve">   ZZ_Total_Produit_SH6</v>
      </c>
      <c r="B1175" t="str">
        <f>T("   ZZ_Total_Produit_SH6")</f>
        <v xml:space="preserve">   ZZ_Total_Produit_SH6</v>
      </c>
      <c r="C1175">
        <v>28836000</v>
      </c>
      <c r="D1175">
        <v>1826.79</v>
      </c>
    </row>
    <row r="1176" spans="1:4" x14ac:dyDescent="0.25">
      <c r="A1176" t="str">
        <f>T("   300420")</f>
        <v xml:space="preserve">   300420</v>
      </c>
      <c r="B1176" t="s">
        <v>76</v>
      </c>
      <c r="C1176">
        <v>25836000</v>
      </c>
      <c r="D1176">
        <v>26.79</v>
      </c>
    </row>
    <row r="1177" spans="1:4" x14ac:dyDescent="0.25">
      <c r="A1177" t="str">
        <f>T("   732399")</f>
        <v xml:space="preserve">   732399</v>
      </c>
      <c r="B1177" t="s">
        <v>363</v>
      </c>
      <c r="C1177">
        <v>3000000</v>
      </c>
      <c r="D1177">
        <v>1800</v>
      </c>
    </row>
    <row r="1178" spans="1:4" x14ac:dyDescent="0.25">
      <c r="A1178" t="str">
        <f>T("CG")</f>
        <v>CG</v>
      </c>
      <c r="B1178" t="str">
        <f>T("Congo (Brazzaville)")</f>
        <v>Congo (Brazzaville)</v>
      </c>
    </row>
    <row r="1179" spans="1:4" x14ac:dyDescent="0.25">
      <c r="A1179" t="str">
        <f>T("   ZZ_Total_Produit_SH6")</f>
        <v xml:space="preserve">   ZZ_Total_Produit_SH6</v>
      </c>
      <c r="B1179" t="str">
        <f>T("   ZZ_Total_Produit_SH6")</f>
        <v xml:space="preserve">   ZZ_Total_Produit_SH6</v>
      </c>
      <c r="C1179">
        <v>1649666560</v>
      </c>
      <c r="D1179">
        <v>3186216</v>
      </c>
    </row>
    <row r="1180" spans="1:4" x14ac:dyDescent="0.25">
      <c r="A1180" t="str">
        <f>T("   271113")</f>
        <v xml:space="preserve">   271113</v>
      </c>
      <c r="B1180" t="str">
        <f>T("   Butanes, liquéfiés (à l'excl. des butanes d'une pureté &gt;= 95% en n-butane ou en isobutane)")</f>
        <v xml:space="preserve">   Butanes, liquéfiés (à l'excl. des butanes d'une pureté &gt;= 95% en n-butane ou en isobutane)</v>
      </c>
      <c r="C1180">
        <v>1580928780</v>
      </c>
      <c r="D1180">
        <v>3136497</v>
      </c>
    </row>
    <row r="1181" spans="1:4" x14ac:dyDescent="0.25">
      <c r="A1181" t="str">
        <f>T("   300490")</f>
        <v xml:space="preserve">   300490</v>
      </c>
      <c r="B1181" t="s">
        <v>79</v>
      </c>
      <c r="C1181">
        <v>879903</v>
      </c>
      <c r="D1181">
        <v>371</v>
      </c>
    </row>
    <row r="1182" spans="1:4" x14ac:dyDescent="0.25">
      <c r="A1182" t="str">
        <f>T("   620899")</f>
        <v xml:space="preserve">   620899</v>
      </c>
      <c r="B1182" t="s">
        <v>264</v>
      </c>
      <c r="C1182">
        <v>9553735</v>
      </c>
      <c r="D1182">
        <v>546</v>
      </c>
    </row>
    <row r="1183" spans="1:4" x14ac:dyDescent="0.25">
      <c r="A1183" t="str">
        <f>T("   621040")</f>
        <v xml:space="preserve">   621040</v>
      </c>
      <c r="B1183" t="s">
        <v>265</v>
      </c>
      <c r="C1183">
        <v>30000</v>
      </c>
      <c r="D1183">
        <v>205</v>
      </c>
    </row>
    <row r="1184" spans="1:4" x14ac:dyDescent="0.25">
      <c r="A1184" t="str">
        <f>T("   761519")</f>
        <v xml:space="preserve">   761519</v>
      </c>
      <c r="B1184" t="s">
        <v>373</v>
      </c>
      <c r="C1184">
        <v>1500000</v>
      </c>
      <c r="D1184">
        <v>1383</v>
      </c>
    </row>
    <row r="1185" spans="1:4" x14ac:dyDescent="0.25">
      <c r="A1185" t="str">
        <f>T("   841510")</f>
        <v xml:space="preserve">   841510</v>
      </c>
      <c r="B1185" t="s">
        <v>400</v>
      </c>
      <c r="C1185">
        <v>20470616</v>
      </c>
      <c r="D1185">
        <v>18727</v>
      </c>
    </row>
    <row r="1186" spans="1:4" x14ac:dyDescent="0.25">
      <c r="A1186" t="str">
        <f>T("   841582")</f>
        <v xml:space="preserve">   841582</v>
      </c>
      <c r="B1186" t="s">
        <v>402</v>
      </c>
      <c r="C1186">
        <v>32569798</v>
      </c>
      <c r="D1186">
        <v>18727</v>
      </c>
    </row>
    <row r="1187" spans="1:4" x14ac:dyDescent="0.25">
      <c r="A1187" t="str">
        <f>T("   843049")</f>
        <v xml:space="preserve">   843049</v>
      </c>
      <c r="B1187"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1187">
        <v>1500000</v>
      </c>
      <c r="D1187">
        <v>1000</v>
      </c>
    </row>
    <row r="1188" spans="1:4" x14ac:dyDescent="0.25">
      <c r="A1188" t="str">
        <f>T("   870422")</f>
        <v xml:space="preserve">   870422</v>
      </c>
      <c r="B1188" t="s">
        <v>479</v>
      </c>
      <c r="C1188">
        <v>1226163</v>
      </c>
      <c r="D1188">
        <v>8700</v>
      </c>
    </row>
    <row r="1189" spans="1:4" x14ac:dyDescent="0.25">
      <c r="A1189" t="str">
        <f>T("   940120")</f>
        <v xml:space="preserve">   940120</v>
      </c>
      <c r="B1189" t="str">
        <f>T("   Sièges pour véhicules automobiles")</f>
        <v xml:space="preserve">   Sièges pour véhicules automobiles</v>
      </c>
      <c r="C1189">
        <v>1007565</v>
      </c>
      <c r="D1189">
        <v>60</v>
      </c>
    </row>
    <row r="1190" spans="1:4" x14ac:dyDescent="0.25">
      <c r="A1190" t="str">
        <f>T("CH")</f>
        <v>CH</v>
      </c>
      <c r="B1190" t="str">
        <f>T("Suisse")</f>
        <v>Suisse</v>
      </c>
    </row>
    <row r="1191" spans="1:4" x14ac:dyDescent="0.25">
      <c r="A1191" t="str">
        <f>T("   ZZ_Total_Produit_SH6")</f>
        <v xml:space="preserve">   ZZ_Total_Produit_SH6</v>
      </c>
      <c r="B1191" t="str">
        <f>T("   ZZ_Total_Produit_SH6")</f>
        <v xml:space="preserve">   ZZ_Total_Produit_SH6</v>
      </c>
      <c r="C1191">
        <v>19336145527.881001</v>
      </c>
      <c r="D1191">
        <v>51201366</v>
      </c>
    </row>
    <row r="1192" spans="1:4" x14ac:dyDescent="0.25">
      <c r="A1192" t="str">
        <f>T("   020727")</f>
        <v xml:space="preserve">   020727</v>
      </c>
      <c r="B1192" t="str">
        <f>T("   Morceaux et abats comestibles de dindes et dindons [des espèces domestiques], congelés")</f>
        <v xml:space="preserve">   Morceaux et abats comestibles de dindes et dindons [des espèces domestiques], congelés</v>
      </c>
      <c r="C1192">
        <v>44857169</v>
      </c>
      <c r="D1192">
        <v>72000</v>
      </c>
    </row>
    <row r="1193" spans="1:4" x14ac:dyDescent="0.25">
      <c r="A1193" t="str">
        <f>T("   030379")</f>
        <v xml:space="preserve">   030379</v>
      </c>
      <c r="B1193" t="s">
        <v>17</v>
      </c>
      <c r="C1193">
        <v>951485420</v>
      </c>
      <c r="D1193">
        <v>5197448</v>
      </c>
    </row>
    <row r="1194" spans="1:4" x14ac:dyDescent="0.25">
      <c r="A1194" t="str">
        <f>T("   100630")</f>
        <v xml:space="preserve">   100630</v>
      </c>
      <c r="B1194" t="str">
        <f>T("   Riz semi-blanchi ou blanchi, même poli ou glacé")</f>
        <v xml:space="preserve">   Riz semi-blanchi ou blanchi, même poli ou glacé</v>
      </c>
      <c r="C1194">
        <v>3585271670.7979999</v>
      </c>
      <c r="D1194">
        <v>12968039</v>
      </c>
    </row>
    <row r="1195" spans="1:4" x14ac:dyDescent="0.25">
      <c r="A1195" t="str">
        <f>T("   151190")</f>
        <v xml:space="preserve">   151190</v>
      </c>
      <c r="B1195" t="str">
        <f>T("   Huile de palme et ses fractions, même raffinées, mais non chimiquement modifiées (à l'excl. de l'huile de palme brute)")</f>
        <v xml:space="preserve">   Huile de palme et ses fractions, même raffinées, mais non chimiquement modifiées (à l'excl. de l'huile de palme brute)</v>
      </c>
      <c r="C1195">
        <v>96539602.083000004</v>
      </c>
      <c r="D1195">
        <v>250000</v>
      </c>
    </row>
    <row r="1196" spans="1:4" x14ac:dyDescent="0.25">
      <c r="A1196" t="str">
        <f>T("   200290")</f>
        <v xml:space="preserve">   200290</v>
      </c>
      <c r="B1196"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196">
        <v>91032489</v>
      </c>
      <c r="D1196">
        <v>250920</v>
      </c>
    </row>
    <row r="1197" spans="1:4" x14ac:dyDescent="0.25">
      <c r="A1197" t="str">
        <f>T("   271500")</f>
        <v xml:space="preserve">   271500</v>
      </c>
      <c r="B1197"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1197">
        <v>22694904</v>
      </c>
      <c r="D1197">
        <v>57940</v>
      </c>
    </row>
    <row r="1198" spans="1:4" x14ac:dyDescent="0.25">
      <c r="A1198" t="str">
        <f>T("   283329")</f>
        <v xml:space="preserve">   283329</v>
      </c>
      <c r="B1198" t="str">
        <f>T("   SULFATES (AUTRES QUE DE SODIUM, DE MAGNÉSIUM, D'ALUMINIUM, DE NICKEL, DE CUIVRE, DE BARYUM OU DE MERCURE)")</f>
        <v xml:space="preserve">   SULFATES (AUTRES QUE DE SODIUM, DE MAGNÉSIUM, D'ALUMINIUM, DE NICKEL, DE CUIVRE, DE BARYUM OU DE MERCURE)</v>
      </c>
      <c r="C1198">
        <v>4666545</v>
      </c>
      <c r="D1198">
        <v>403</v>
      </c>
    </row>
    <row r="1199" spans="1:4" x14ac:dyDescent="0.25">
      <c r="A1199" t="str">
        <f>T("   292910")</f>
        <v xml:space="preserve">   292910</v>
      </c>
      <c r="B1199" t="str">
        <f>T("   Isocyanates")</f>
        <v xml:space="preserve">   Isocyanates</v>
      </c>
      <c r="C1199">
        <v>28298285</v>
      </c>
      <c r="D1199">
        <v>21899</v>
      </c>
    </row>
    <row r="1200" spans="1:4" x14ac:dyDescent="0.25">
      <c r="A1200" t="str">
        <f>T("   300490")</f>
        <v xml:space="preserve">   300490</v>
      </c>
      <c r="B1200" t="s">
        <v>79</v>
      </c>
      <c r="C1200">
        <v>1260756</v>
      </c>
      <c r="D1200">
        <v>1396</v>
      </c>
    </row>
    <row r="1201" spans="1:4" x14ac:dyDescent="0.25">
      <c r="A1201" t="str">
        <f>T("   321000")</f>
        <v xml:space="preserve">   321000</v>
      </c>
      <c r="B1201"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1201">
        <v>175142</v>
      </c>
      <c r="D1201">
        <v>335</v>
      </c>
    </row>
    <row r="1202" spans="1:4" x14ac:dyDescent="0.25">
      <c r="A1202" t="str">
        <f>T("   321511")</f>
        <v xml:space="preserve">   321511</v>
      </c>
      <c r="B1202" t="str">
        <f>T("   Encres d'imprimerie, noires, même concentrées ou sous formes solides")</f>
        <v xml:space="preserve">   Encres d'imprimerie, noires, même concentrées ou sous formes solides</v>
      </c>
      <c r="C1202">
        <v>1388628</v>
      </c>
      <c r="D1202">
        <v>24</v>
      </c>
    </row>
    <row r="1203" spans="1:4" x14ac:dyDescent="0.25">
      <c r="A1203" t="str">
        <f>T("   321519")</f>
        <v xml:space="preserve">   321519</v>
      </c>
      <c r="B1203" t="str">
        <f>T("   Encres d'imprimerie, même concentrées ou sous formes solides (à l'excl. des encres noires)")</f>
        <v xml:space="preserve">   Encres d'imprimerie, même concentrées ou sous formes solides (à l'excl. des encres noires)</v>
      </c>
      <c r="C1203">
        <v>16744172</v>
      </c>
      <c r="D1203">
        <v>5669</v>
      </c>
    </row>
    <row r="1204" spans="1:4" x14ac:dyDescent="0.25">
      <c r="A1204" t="str">
        <f>T("   330210")</f>
        <v xml:space="preserve">   330210</v>
      </c>
      <c r="B1204"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1204">
        <v>8169384</v>
      </c>
      <c r="D1204">
        <v>3270</v>
      </c>
    </row>
    <row r="1205" spans="1:4" x14ac:dyDescent="0.25">
      <c r="A1205" t="str">
        <f>T("   330290")</f>
        <v xml:space="preserve">   330290</v>
      </c>
      <c r="B1205" t="s">
        <v>96</v>
      </c>
      <c r="C1205">
        <v>4845577</v>
      </c>
      <c r="D1205">
        <v>3777</v>
      </c>
    </row>
    <row r="1206" spans="1:4" x14ac:dyDescent="0.25">
      <c r="A1206" t="str">
        <f>T("   340290")</f>
        <v xml:space="preserve">   340290</v>
      </c>
      <c r="B1206" t="s">
        <v>101</v>
      </c>
      <c r="C1206">
        <v>3185683</v>
      </c>
      <c r="D1206">
        <v>1028</v>
      </c>
    </row>
    <row r="1207" spans="1:4" x14ac:dyDescent="0.25">
      <c r="A1207" t="str">
        <f>T("   350699")</f>
        <v xml:space="preserve">   350699</v>
      </c>
      <c r="B1207" t="str">
        <f>T("   Colles et autres adhésifs préparés, n.d.a.")</f>
        <v xml:space="preserve">   Colles et autres adhésifs préparés, n.d.a.</v>
      </c>
      <c r="C1207">
        <v>2326592</v>
      </c>
      <c r="D1207">
        <v>326</v>
      </c>
    </row>
    <row r="1208" spans="1:4" x14ac:dyDescent="0.25">
      <c r="A1208" t="str">
        <f>T("   370244")</f>
        <v xml:space="preserve">   370244</v>
      </c>
      <c r="B1208" t="str">
        <f>T("   Pellicules photographiques sensibilisées, non impressionnées, non perforées, en rouleaux, d'une largeur &gt; 105 mm mais &lt;= 610 mm (à l'excl. des produits en papier, en carton ou en matières textiles)")</f>
        <v xml:space="preserve">   Pellicules photographiques sensibilisées, non impressionnées, non perforées, en rouleaux, d'une largeur &gt; 105 mm mais &lt;= 610 mm (à l'excl. des produits en papier, en carton ou en matières textiles)</v>
      </c>
      <c r="C1208">
        <v>6227245</v>
      </c>
      <c r="D1208">
        <v>323</v>
      </c>
    </row>
    <row r="1209" spans="1:4" x14ac:dyDescent="0.25">
      <c r="A1209" t="str">
        <f>T("   370510")</f>
        <v xml:space="preserve">   370510</v>
      </c>
      <c r="B1209" t="str">
        <f>T("   Plaques et pellicules, photographiques, impressionnées et développées, pour la reproduction offset (à l'excl. des plaques prêtes à l'emploi ainsi que des produits en papier, en carton ou en matières textiles)")</f>
        <v xml:space="preserve">   Plaques et pellicules, photographiques, impressionnées et développées, pour la reproduction offset (à l'excl. des plaques prêtes à l'emploi ainsi que des produits en papier, en carton ou en matières textiles)</v>
      </c>
      <c r="C1209">
        <v>1995483</v>
      </c>
      <c r="D1209">
        <v>1000</v>
      </c>
    </row>
    <row r="1210" spans="1:4" x14ac:dyDescent="0.25">
      <c r="A1210" t="str">
        <f>T("   370790")</f>
        <v xml:space="preserve">   370790</v>
      </c>
      <c r="B1210" t="s">
        <v>115</v>
      </c>
      <c r="C1210">
        <v>7682111</v>
      </c>
      <c r="D1210">
        <v>4274</v>
      </c>
    </row>
    <row r="1211" spans="1:4" x14ac:dyDescent="0.25">
      <c r="A1211" t="str">
        <f>T("   380840")</f>
        <v xml:space="preserve">   380840</v>
      </c>
      <c r="B1211"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1211">
        <v>2181703</v>
      </c>
      <c r="D1211">
        <v>704</v>
      </c>
    </row>
    <row r="1212" spans="1:4" x14ac:dyDescent="0.25">
      <c r="A1212" t="str">
        <f>T("   380890")</f>
        <v xml:space="preserve">   380890</v>
      </c>
      <c r="B1212"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1212">
        <v>10237535</v>
      </c>
      <c r="D1212">
        <v>4184</v>
      </c>
    </row>
    <row r="1213" spans="1:4" x14ac:dyDescent="0.25">
      <c r="A1213" t="str">
        <f>T("   381400")</f>
        <v xml:space="preserve">   381400</v>
      </c>
      <c r="B1213"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1213">
        <v>2282531</v>
      </c>
      <c r="D1213">
        <v>40</v>
      </c>
    </row>
    <row r="1214" spans="1:4" x14ac:dyDescent="0.25">
      <c r="A1214" t="str">
        <f>T("   381600")</f>
        <v xml:space="preserve">   381600</v>
      </c>
      <c r="B1214"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1214">
        <v>4300474</v>
      </c>
      <c r="D1214">
        <v>1388</v>
      </c>
    </row>
    <row r="1215" spans="1:4" x14ac:dyDescent="0.25">
      <c r="A1215" t="str">
        <f>T("   382200")</f>
        <v xml:space="preserve">   382200</v>
      </c>
      <c r="B1215" t="s">
        <v>122</v>
      </c>
      <c r="C1215">
        <v>2543586</v>
      </c>
      <c r="D1215">
        <v>90</v>
      </c>
    </row>
    <row r="1216" spans="1:4" x14ac:dyDescent="0.25">
      <c r="A1216" t="str">
        <f>T("   382490")</f>
        <v xml:space="preserve">   382490</v>
      </c>
      <c r="B1216"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216">
        <v>62769179</v>
      </c>
      <c r="D1216">
        <v>14761</v>
      </c>
    </row>
    <row r="1217" spans="1:4" x14ac:dyDescent="0.25">
      <c r="A1217" t="str">
        <f>T("   390720")</f>
        <v xml:space="preserve">   390720</v>
      </c>
      <c r="B1217" t="str">
        <f>T("   Polyéthers, sous formes primaires (à l'excl. des polyacétals)")</f>
        <v xml:space="preserve">   Polyéthers, sous formes primaires (à l'excl. des polyacétals)</v>
      </c>
      <c r="C1217">
        <v>85628698</v>
      </c>
      <c r="D1217">
        <v>75438</v>
      </c>
    </row>
    <row r="1218" spans="1:4" x14ac:dyDescent="0.25">
      <c r="A1218" t="str">
        <f>T("   400911")</f>
        <v xml:space="preserve">   400911</v>
      </c>
      <c r="B1218"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1218">
        <v>268288</v>
      </c>
      <c r="D1218">
        <v>26</v>
      </c>
    </row>
    <row r="1219" spans="1:4" x14ac:dyDescent="0.25">
      <c r="A1219" t="str">
        <f>T("   401039")</f>
        <v xml:space="preserve">   401039</v>
      </c>
      <c r="B1219" t="s">
        <v>151</v>
      </c>
      <c r="C1219">
        <v>120041</v>
      </c>
      <c r="D1219">
        <v>12</v>
      </c>
    </row>
    <row r="1220" spans="1:4" x14ac:dyDescent="0.25">
      <c r="A1220" t="str">
        <f>T("   401110")</f>
        <v xml:space="preserve">   401110</v>
      </c>
      <c r="B1220"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220">
        <v>239155832</v>
      </c>
      <c r="D1220">
        <v>81113</v>
      </c>
    </row>
    <row r="1221" spans="1:4" x14ac:dyDescent="0.25">
      <c r="A1221" t="str">
        <f>T("   401120")</f>
        <v xml:space="preserve">   401120</v>
      </c>
      <c r="B1221"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221">
        <v>60990406</v>
      </c>
      <c r="D1221">
        <v>29441</v>
      </c>
    </row>
    <row r="1222" spans="1:4" x14ac:dyDescent="0.25">
      <c r="A1222" t="str">
        <f>T("   401220")</f>
        <v xml:space="preserve">   401220</v>
      </c>
      <c r="B1222" t="str">
        <f>T("   Pneumatiques usagés, en caoutchouc")</f>
        <v xml:space="preserve">   Pneumatiques usagés, en caoutchouc</v>
      </c>
      <c r="C1222">
        <v>7095000</v>
      </c>
      <c r="D1222">
        <v>16555</v>
      </c>
    </row>
    <row r="1223" spans="1:4" x14ac:dyDescent="0.25">
      <c r="A1223" t="str">
        <f>T("   401693")</f>
        <v xml:space="preserve">   401693</v>
      </c>
      <c r="B1223" t="str">
        <f>T("   Joints en caoutchouc vulcanisé non durci (à l'excl. des articles en caoutchouc alvéolaire)")</f>
        <v xml:space="preserve">   Joints en caoutchouc vulcanisé non durci (à l'excl. des articles en caoutchouc alvéolaire)</v>
      </c>
      <c r="C1223">
        <v>1668126</v>
      </c>
      <c r="D1223">
        <v>184</v>
      </c>
    </row>
    <row r="1224" spans="1:4" x14ac:dyDescent="0.25">
      <c r="A1224" t="str">
        <f>T("   420212")</f>
        <v xml:space="preserve">   420212</v>
      </c>
      <c r="B1224"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1224">
        <v>7741981</v>
      </c>
      <c r="D1224">
        <v>10832</v>
      </c>
    </row>
    <row r="1225" spans="1:4" x14ac:dyDescent="0.25">
      <c r="A1225" t="str">
        <f>T("   420222")</f>
        <v xml:space="preserve">   420222</v>
      </c>
      <c r="B1225"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1225">
        <v>1880970</v>
      </c>
      <c r="D1225">
        <v>4278</v>
      </c>
    </row>
    <row r="1226" spans="1:4" x14ac:dyDescent="0.25">
      <c r="A1226" t="str">
        <f>T("   420229")</f>
        <v xml:space="preserve">   420229</v>
      </c>
      <c r="B1226"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226">
        <v>8609605</v>
      </c>
      <c r="D1226">
        <v>3280</v>
      </c>
    </row>
    <row r="1227" spans="1:4" x14ac:dyDescent="0.25">
      <c r="A1227" t="str">
        <f>T("   480439")</f>
        <v xml:space="preserve">   480439</v>
      </c>
      <c r="B1227" t="s">
        <v>195</v>
      </c>
      <c r="C1227">
        <v>32818564</v>
      </c>
      <c r="D1227">
        <v>54831</v>
      </c>
    </row>
    <row r="1228" spans="1:4" x14ac:dyDescent="0.25">
      <c r="A1228" t="str">
        <f>T("   481930")</f>
        <v xml:space="preserve">   481930</v>
      </c>
      <c r="B1228" t="str">
        <f>T("   Sacs, en papier, carton, ouate de cellulose ou nappes de fibres de cellulose, d'une largeur à la base &gt;= 40 cm")</f>
        <v xml:space="preserve">   Sacs, en papier, carton, ouate de cellulose ou nappes de fibres de cellulose, d'une largeur à la base &gt;= 40 cm</v>
      </c>
      <c r="C1228">
        <v>722965509</v>
      </c>
      <c r="D1228">
        <v>1185507</v>
      </c>
    </row>
    <row r="1229" spans="1:4" x14ac:dyDescent="0.25">
      <c r="A1229" t="str">
        <f>T("   482010")</f>
        <v xml:space="preserve">   482010</v>
      </c>
      <c r="B1229"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229">
        <v>3280</v>
      </c>
      <c r="D1229">
        <v>1</v>
      </c>
    </row>
    <row r="1230" spans="1:4" x14ac:dyDescent="0.25">
      <c r="A1230" t="str">
        <f>T("   490890")</f>
        <v xml:space="preserve">   490890</v>
      </c>
      <c r="B1230" t="str">
        <f>T("   Décalcomanies de tous genres (à l'excl. des articles vitrifiables)")</f>
        <v xml:space="preserve">   Décalcomanies de tous genres (à l'excl. des articles vitrifiables)</v>
      </c>
      <c r="C1230">
        <v>4592</v>
      </c>
      <c r="D1230">
        <v>2</v>
      </c>
    </row>
    <row r="1231" spans="1:4" x14ac:dyDescent="0.25">
      <c r="A1231" t="str">
        <f>T("   491110")</f>
        <v xml:space="preserve">   491110</v>
      </c>
      <c r="B1231" t="str">
        <f>T("   Imprimés publicitaires, catalogues commerciaux et simil.")</f>
        <v xml:space="preserve">   Imprimés publicitaires, catalogues commerciaux et simil.</v>
      </c>
      <c r="C1231">
        <v>493939</v>
      </c>
      <c r="D1231">
        <v>634</v>
      </c>
    </row>
    <row r="1232" spans="1:4" x14ac:dyDescent="0.25">
      <c r="A1232" t="str">
        <f>T("   630900")</f>
        <v xml:space="preserve">   630900</v>
      </c>
      <c r="B1232" t="s">
        <v>273</v>
      </c>
      <c r="C1232">
        <v>14290084</v>
      </c>
      <c r="D1232">
        <v>25761</v>
      </c>
    </row>
    <row r="1233" spans="1:4" x14ac:dyDescent="0.25">
      <c r="A1233" t="str">
        <f>T("   660110")</f>
        <v xml:space="preserve">   660110</v>
      </c>
      <c r="B1233" t="str">
        <f>T("   Parasols de jardin et articles simil. (sauf tentes de plage)")</f>
        <v xml:space="preserve">   Parasols de jardin et articles simil. (sauf tentes de plage)</v>
      </c>
      <c r="C1233">
        <v>43562487</v>
      </c>
      <c r="D1233">
        <v>6385</v>
      </c>
    </row>
    <row r="1234" spans="1:4" x14ac:dyDescent="0.25">
      <c r="A1234" t="str">
        <f>T("   660199")</f>
        <v xml:space="preserve">   660199</v>
      </c>
      <c r="B1234"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1234">
        <v>6078637</v>
      </c>
      <c r="D1234">
        <v>2316</v>
      </c>
    </row>
    <row r="1235" spans="1:4" x14ac:dyDescent="0.25">
      <c r="A1235" t="str">
        <f>T("   690790")</f>
        <v xml:space="preserve">   690790</v>
      </c>
      <c r="B1235" t="s">
        <v>306</v>
      </c>
      <c r="C1235">
        <v>11868706</v>
      </c>
      <c r="D1235">
        <v>76500</v>
      </c>
    </row>
    <row r="1236" spans="1:4" x14ac:dyDescent="0.25">
      <c r="A1236" t="str">
        <f>T("   691110")</f>
        <v xml:space="preserve">   691110</v>
      </c>
      <c r="B1236" t="s">
        <v>311</v>
      </c>
      <c r="C1236">
        <v>2588490</v>
      </c>
      <c r="D1236">
        <v>986</v>
      </c>
    </row>
    <row r="1237" spans="1:4" x14ac:dyDescent="0.25">
      <c r="A1237" t="str">
        <f>T("   721049")</f>
        <v xml:space="preserve">   721049</v>
      </c>
      <c r="B1237"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1237">
        <v>709103352</v>
      </c>
      <c r="D1237">
        <v>1143486</v>
      </c>
    </row>
    <row r="1238" spans="1:4" x14ac:dyDescent="0.25">
      <c r="A1238" t="str">
        <f>T("   721070")</f>
        <v xml:space="preserve">   721070</v>
      </c>
      <c r="B1238" t="str">
        <f>T("   PRODUITS LAMINÉS PLATS, EN FER OU EN ACIERS NON-ALLIÉS, D'UNE LARGEUR &gt;= 600 MM, LAMINÉS À CHAUD OU À FROID, PEINTS, VERNIS OU REVÊTUS DE MATIÈRES PLASTIQUES")</f>
        <v xml:space="preserve">   PRODUITS LAMINÉS PLATS, EN FER OU EN ACIERS NON-ALLIÉS, D'UNE LARGEUR &gt;= 600 MM, LAMINÉS À CHAUD OU À FROID, PEINTS, VERNIS OU REVÊTUS DE MATIÈRES PLASTIQUES</v>
      </c>
      <c r="C1238">
        <v>70402875</v>
      </c>
      <c r="D1238">
        <v>117740</v>
      </c>
    </row>
    <row r="1239" spans="1:4" x14ac:dyDescent="0.25">
      <c r="A1239" t="str">
        <f>T("   721391")</f>
        <v xml:space="preserve">   721391</v>
      </c>
      <c r="B1239"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239">
        <v>9225526104</v>
      </c>
      <c r="D1239">
        <v>23834710</v>
      </c>
    </row>
    <row r="1240" spans="1:4" x14ac:dyDescent="0.25">
      <c r="A1240" t="str">
        <f>T("   721399")</f>
        <v xml:space="preserve">   721399</v>
      </c>
      <c r="B1240" t="s">
        <v>338</v>
      </c>
      <c r="C1240">
        <v>1158967576</v>
      </c>
      <c r="D1240">
        <v>3000340</v>
      </c>
    </row>
    <row r="1241" spans="1:4" x14ac:dyDescent="0.25">
      <c r="A1241" t="str">
        <f>T("   721420")</f>
        <v xml:space="preserve">   721420</v>
      </c>
      <c r="B1241"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241">
        <v>602488348</v>
      </c>
      <c r="D1241">
        <v>1777899</v>
      </c>
    </row>
    <row r="1242" spans="1:4" x14ac:dyDescent="0.25">
      <c r="A1242" t="str">
        <f>T("   730840")</f>
        <v xml:space="preserve">   730840</v>
      </c>
      <c r="B1242"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1242">
        <v>45067</v>
      </c>
      <c r="D1242">
        <v>128</v>
      </c>
    </row>
    <row r="1243" spans="1:4" x14ac:dyDescent="0.25">
      <c r="A1243" t="str">
        <f>T("   731029")</f>
        <v xml:space="preserve">   731029</v>
      </c>
      <c r="B1243"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1243">
        <v>5114789</v>
      </c>
      <c r="D1243">
        <v>357</v>
      </c>
    </row>
    <row r="1244" spans="1:4" x14ac:dyDescent="0.25">
      <c r="A1244" t="str">
        <f>T("   731100")</f>
        <v xml:space="preserve">   731100</v>
      </c>
      <c r="B1244"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1244">
        <v>268465</v>
      </c>
      <c r="D1244">
        <v>38</v>
      </c>
    </row>
    <row r="1245" spans="1:4" x14ac:dyDescent="0.25">
      <c r="A1245" t="str">
        <f>T("   731519")</f>
        <v xml:space="preserve">   731519</v>
      </c>
      <c r="B1245" t="str">
        <f>T("   Parties de chaînes à maillons articulés en fonte, fer ou acier")</f>
        <v xml:space="preserve">   Parties de chaînes à maillons articulés en fonte, fer ou acier</v>
      </c>
      <c r="C1245">
        <v>1381229</v>
      </c>
      <c r="D1245">
        <v>194</v>
      </c>
    </row>
    <row r="1246" spans="1:4" x14ac:dyDescent="0.25">
      <c r="A1246" t="str">
        <f>T("   731589")</f>
        <v xml:space="preserve">   731589</v>
      </c>
      <c r="B1246" t="s">
        <v>353</v>
      </c>
      <c r="C1246">
        <v>1611431</v>
      </c>
      <c r="D1246">
        <v>226</v>
      </c>
    </row>
    <row r="1247" spans="1:4" x14ac:dyDescent="0.25">
      <c r="A1247" t="str">
        <f>T("   731829")</f>
        <v xml:space="preserve">   731829</v>
      </c>
      <c r="B1247" t="str">
        <f>T("   Articles de boulonnerie et de visserie non filetés, en fonte, fer ou acier, n.d.a.")</f>
        <v xml:space="preserve">   Articles de boulonnerie et de visserie non filetés, en fonte, fer ou acier, n.d.a.</v>
      </c>
      <c r="C1247">
        <v>175141</v>
      </c>
      <c r="D1247">
        <v>17</v>
      </c>
    </row>
    <row r="1248" spans="1:4" x14ac:dyDescent="0.25">
      <c r="A1248" t="str">
        <f>T("   732090")</f>
        <v xml:space="preserve">   732090</v>
      </c>
      <c r="B1248" t="s">
        <v>355</v>
      </c>
      <c r="C1248">
        <v>2520625</v>
      </c>
      <c r="D1248">
        <v>217</v>
      </c>
    </row>
    <row r="1249" spans="1:4" x14ac:dyDescent="0.25">
      <c r="A1249" t="str">
        <f>T("   820420")</f>
        <v xml:space="preserve">   820420</v>
      </c>
      <c r="B1249" t="str">
        <f>T("   Douilles de serrage interchangeables, même avec manches, en métaux communs")</f>
        <v xml:space="preserve">   Douilles de serrage interchangeables, même avec manches, en métaux communs</v>
      </c>
      <c r="C1249">
        <v>2173077</v>
      </c>
      <c r="D1249">
        <v>188</v>
      </c>
    </row>
    <row r="1250" spans="1:4" x14ac:dyDescent="0.25">
      <c r="A1250" t="str">
        <f>T("   830790")</f>
        <v xml:space="preserve">   830790</v>
      </c>
      <c r="B1250" t="str">
        <f>T("   Tuyaux flexibles en métaux communs autres que le fer ou l'acier, même avec accessoires")</f>
        <v xml:space="preserve">   Tuyaux flexibles en métaux communs autres que le fer ou l'acier, même avec accessoires</v>
      </c>
      <c r="C1250">
        <v>965573</v>
      </c>
      <c r="D1250">
        <v>95</v>
      </c>
    </row>
    <row r="1251" spans="1:4" x14ac:dyDescent="0.25">
      <c r="A1251" t="str">
        <f>T("   840290")</f>
        <v xml:space="preserve">   840290</v>
      </c>
      <c r="B1251" t="str">
        <f>T("   Parties de chaudières à vapeur et de chaudières dites -à eau surchauffée-, n.d.a.")</f>
        <v xml:space="preserve">   Parties de chaudières à vapeur et de chaudières dites -à eau surchauffée-, n.d.a.</v>
      </c>
      <c r="C1251">
        <v>310472</v>
      </c>
      <c r="D1251">
        <v>100</v>
      </c>
    </row>
    <row r="1252" spans="1:4" x14ac:dyDescent="0.25">
      <c r="A1252" t="str">
        <f>T("   841381")</f>
        <v xml:space="preserve">   841381</v>
      </c>
      <c r="B1252" t="s">
        <v>398</v>
      </c>
      <c r="C1252">
        <v>95259416</v>
      </c>
      <c r="D1252">
        <v>5033</v>
      </c>
    </row>
    <row r="1253" spans="1:4" x14ac:dyDescent="0.25">
      <c r="A1253" t="str">
        <f>T("   841391")</f>
        <v xml:space="preserve">   841391</v>
      </c>
      <c r="B1253" t="str">
        <f>T("   Parties de pompes pour liquides, n.d.a.")</f>
        <v xml:space="preserve">   Parties de pompes pour liquides, n.d.a.</v>
      </c>
      <c r="C1253">
        <v>14540777</v>
      </c>
      <c r="D1253">
        <v>3215</v>
      </c>
    </row>
    <row r="1254" spans="1:4" x14ac:dyDescent="0.25">
      <c r="A1254" t="str">
        <f>T("   841850")</f>
        <v xml:space="preserve">   841850</v>
      </c>
      <c r="B1254" t="s">
        <v>404</v>
      </c>
      <c r="C1254">
        <v>65715614</v>
      </c>
      <c r="D1254">
        <v>23061</v>
      </c>
    </row>
    <row r="1255" spans="1:4" x14ac:dyDescent="0.25">
      <c r="A1255" t="str">
        <f>T("   842139")</f>
        <v xml:space="preserve">   842139</v>
      </c>
      <c r="B1255"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1255">
        <v>7472696</v>
      </c>
      <c r="D1255">
        <v>728</v>
      </c>
    </row>
    <row r="1256" spans="1:4" x14ac:dyDescent="0.25">
      <c r="A1256" t="str">
        <f>T("   842290")</f>
        <v xml:space="preserve">   842290</v>
      </c>
      <c r="B1256"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1256">
        <v>62300850</v>
      </c>
      <c r="D1256">
        <v>5153</v>
      </c>
    </row>
    <row r="1257" spans="1:4" x14ac:dyDescent="0.25">
      <c r="A1257" t="str">
        <f>T("   842959")</f>
        <v xml:space="preserve">   842959</v>
      </c>
      <c r="B1257"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257">
        <v>5018094</v>
      </c>
      <c r="D1257">
        <v>20000</v>
      </c>
    </row>
    <row r="1258" spans="1:4" x14ac:dyDescent="0.25">
      <c r="A1258" t="str">
        <f>T("   843139")</f>
        <v xml:space="preserve">   843139</v>
      </c>
      <c r="B1258" t="str">
        <f>T("   Parties de machines et appareils du n° 8428, n.d.a.")</f>
        <v xml:space="preserve">   Parties de machines et appareils du n° 8428, n.d.a.</v>
      </c>
      <c r="C1258">
        <v>1641796</v>
      </c>
      <c r="D1258">
        <v>230</v>
      </c>
    </row>
    <row r="1259" spans="1:4" x14ac:dyDescent="0.25">
      <c r="A1259" t="str">
        <f>T("   843149")</f>
        <v xml:space="preserve">   843149</v>
      </c>
      <c r="B1259" t="str">
        <f>T("   Parties de machines et appareils du n° 8426, 8429 ou 8430, n.d.a.")</f>
        <v xml:space="preserve">   Parties de machines et appareils du n° 8426, 8429 ou 8430, n.d.a.</v>
      </c>
      <c r="C1259">
        <v>7189322</v>
      </c>
      <c r="D1259">
        <v>700</v>
      </c>
    </row>
    <row r="1260" spans="1:4" x14ac:dyDescent="0.25">
      <c r="A1260" t="str">
        <f>T("   844250")</f>
        <v xml:space="preserve">   844250</v>
      </c>
      <c r="B1260" t="str">
        <f>T("   PLANCHES, CYLINDRES ET AUTRES ORGANES IMPRIMANTS; PIERRES LITHOGRAPHIQUES, PLANCHES, PLAQUES ET CYLINDRES PRÉPARÉS POUR L'IMPRESSION -PLANÉS, GRENÉS, POLIS, P.EX.-")</f>
        <v xml:space="preserve">   PLANCHES, CYLINDRES ET AUTRES ORGANES IMPRIMANTS; PIERRES LITHOGRAPHIQUES, PLANCHES, PLAQUES ET CYLINDRES PRÉPARÉS POUR L'IMPRESSION -PLANÉS, GRENÉS, POLIS, P.EX.-</v>
      </c>
      <c r="C1260">
        <v>6322799</v>
      </c>
      <c r="D1260">
        <v>670</v>
      </c>
    </row>
    <row r="1261" spans="1:4" x14ac:dyDescent="0.25">
      <c r="A1261" t="str">
        <f>T("   844390")</f>
        <v xml:space="preserve">   844390</v>
      </c>
      <c r="B1261" t="str">
        <f>T("   Parties de machines et appareils à imprimer et de leur machines et appareils auxiliaires, n.d.a.")</f>
        <v xml:space="preserve">   Parties de machines et appareils à imprimer et de leur machines et appareils auxiliaires, n.d.a.</v>
      </c>
      <c r="C1261">
        <v>1343990</v>
      </c>
      <c r="D1261">
        <v>587</v>
      </c>
    </row>
    <row r="1262" spans="1:4" x14ac:dyDescent="0.25">
      <c r="A1262" t="str">
        <f>T("   845229")</f>
        <v xml:space="preserve">   845229</v>
      </c>
      <c r="B1262" t="str">
        <f>T("   Machines à coudre de type industriel (sauf unités automatiques)")</f>
        <v xml:space="preserve">   Machines à coudre de type industriel (sauf unités automatiques)</v>
      </c>
      <c r="C1262">
        <v>230000</v>
      </c>
      <c r="D1262">
        <v>180</v>
      </c>
    </row>
    <row r="1263" spans="1:4" x14ac:dyDescent="0.25">
      <c r="A1263" t="str">
        <f>T("   847150")</f>
        <v xml:space="preserve">   847150</v>
      </c>
      <c r="B1263" t="s">
        <v>436</v>
      </c>
      <c r="C1263">
        <v>27806722</v>
      </c>
      <c r="D1263">
        <v>196</v>
      </c>
    </row>
    <row r="1264" spans="1:4" x14ac:dyDescent="0.25">
      <c r="A1264" t="str">
        <f>T("   847180")</f>
        <v xml:space="preserve">   847180</v>
      </c>
      <c r="B1264"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264">
        <v>11556248</v>
      </c>
      <c r="D1264">
        <v>81</v>
      </c>
    </row>
    <row r="1265" spans="1:4" x14ac:dyDescent="0.25">
      <c r="A1265" t="str">
        <f>T("   847910")</f>
        <v xml:space="preserve">   847910</v>
      </c>
      <c r="B1265" t="str">
        <f>T("   Machines et appareils pour les travaux publics, le bâtiment ou les travaux analogues, n.d.a.")</f>
        <v xml:space="preserve">   Machines et appareils pour les travaux publics, le bâtiment ou les travaux analogues, n.d.a.</v>
      </c>
      <c r="C1265">
        <v>21315420</v>
      </c>
      <c r="D1265">
        <v>2300</v>
      </c>
    </row>
    <row r="1266" spans="1:4" x14ac:dyDescent="0.25">
      <c r="A1266" t="str">
        <f>T("   848140")</f>
        <v xml:space="preserve">   848140</v>
      </c>
      <c r="B1266" t="str">
        <f>T("   Soupapes de trop-plein ou de sûreté")</f>
        <v xml:space="preserve">   Soupapes de trop-plein ou de sûreté</v>
      </c>
      <c r="C1266">
        <v>8441097</v>
      </c>
      <c r="D1266">
        <v>3000</v>
      </c>
    </row>
    <row r="1267" spans="1:4" x14ac:dyDescent="0.25">
      <c r="A1267" t="str">
        <f>T("   848180")</f>
        <v xml:space="preserve">   848180</v>
      </c>
      <c r="B1267"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267">
        <v>32151046</v>
      </c>
      <c r="D1267">
        <v>3342</v>
      </c>
    </row>
    <row r="1268" spans="1:4" x14ac:dyDescent="0.25">
      <c r="A1268" t="str">
        <f>T("   848490")</f>
        <v xml:space="preserve">   848490</v>
      </c>
      <c r="B1268" t="str">
        <f>T("   Jeux ou assortiments de joints de composition différente présentés en pochettes, enveloppes ou emballages analogues")</f>
        <v xml:space="preserve">   Jeux ou assortiments de joints de composition différente présentés en pochettes, enveloppes ou emballages analogues</v>
      </c>
      <c r="C1268">
        <v>2039275</v>
      </c>
      <c r="D1268">
        <v>177</v>
      </c>
    </row>
    <row r="1269" spans="1:4" x14ac:dyDescent="0.25">
      <c r="A1269" t="str">
        <f>T("   850422")</f>
        <v xml:space="preserve">   850422</v>
      </c>
      <c r="B1269" t="str">
        <f>T("   Transformateurs à diélectrique liquide, puissance &gt; 650 kVA mais &lt;= 10.000 kVA")</f>
        <v xml:space="preserve">   Transformateurs à diélectrique liquide, puissance &gt; 650 kVA mais &lt;= 10.000 kVA</v>
      </c>
      <c r="C1269">
        <v>11478683</v>
      </c>
      <c r="D1269">
        <v>990</v>
      </c>
    </row>
    <row r="1270" spans="1:4" x14ac:dyDescent="0.25">
      <c r="A1270" t="str">
        <f>T("   850440")</f>
        <v xml:space="preserve">   850440</v>
      </c>
      <c r="B1270" t="str">
        <f>T("   CONVERTISSEURS STATIQUES")</f>
        <v xml:space="preserve">   CONVERTISSEURS STATIQUES</v>
      </c>
      <c r="C1270">
        <v>6394110</v>
      </c>
      <c r="D1270">
        <v>733</v>
      </c>
    </row>
    <row r="1271" spans="1:4" x14ac:dyDescent="0.25">
      <c r="A1271" t="str">
        <f>T("   851750")</f>
        <v xml:space="preserve">   851750</v>
      </c>
      <c r="B1271" t="s">
        <v>452</v>
      </c>
      <c r="C1271">
        <v>443804</v>
      </c>
      <c r="D1271">
        <v>268</v>
      </c>
    </row>
    <row r="1272" spans="1:4" x14ac:dyDescent="0.25">
      <c r="A1272" t="str">
        <f>T("   851780")</f>
        <v xml:space="preserve">   851780</v>
      </c>
      <c r="B1272" t="s">
        <v>453</v>
      </c>
      <c r="C1272">
        <v>4596474</v>
      </c>
      <c r="D1272">
        <v>2131</v>
      </c>
    </row>
    <row r="1273" spans="1:4" x14ac:dyDescent="0.25">
      <c r="A1273" t="str">
        <f>T("   851790")</f>
        <v xml:space="preserve">   851790</v>
      </c>
      <c r="B1273" t="s">
        <v>454</v>
      </c>
      <c r="C1273">
        <v>5665590</v>
      </c>
      <c r="D1273">
        <v>398</v>
      </c>
    </row>
    <row r="1274" spans="1:4" x14ac:dyDescent="0.25">
      <c r="A1274" t="str">
        <f>T("   852821")</f>
        <v xml:space="preserve">   852821</v>
      </c>
      <c r="B1274" t="str">
        <f>T("   Moniteurs vidéo en couleurs")</f>
        <v xml:space="preserve">   Moniteurs vidéo en couleurs</v>
      </c>
      <c r="C1274">
        <v>576008</v>
      </c>
      <c r="D1274">
        <v>17</v>
      </c>
    </row>
    <row r="1275" spans="1:4" x14ac:dyDescent="0.25">
      <c r="A1275" t="str">
        <f>T("   853110")</f>
        <v xml:space="preserve">   853110</v>
      </c>
      <c r="B1275" t="str">
        <f>T("   Avertisseurs électriques pour la protection contre le vol ou l'incendie et appareils simil.")</f>
        <v xml:space="preserve">   Avertisseurs électriques pour la protection contre le vol ou l'incendie et appareils simil.</v>
      </c>
      <c r="C1275">
        <v>84136217</v>
      </c>
      <c r="D1275">
        <v>7484</v>
      </c>
    </row>
    <row r="1276" spans="1:4" x14ac:dyDescent="0.25">
      <c r="A1276" t="str">
        <f>T("   853649")</f>
        <v xml:space="preserve">   853649</v>
      </c>
      <c r="B1276" t="str">
        <f>T("   Relais, pour une tension &gt; 60 V mais &lt;= 1.000 V")</f>
        <v xml:space="preserve">   Relais, pour une tension &gt; 60 V mais &lt;= 1.000 V</v>
      </c>
      <c r="C1276">
        <v>425718</v>
      </c>
      <c r="D1276">
        <v>1</v>
      </c>
    </row>
    <row r="1277" spans="1:4" x14ac:dyDescent="0.25">
      <c r="A1277" t="str">
        <f>T("   853650")</f>
        <v xml:space="preserve">   853650</v>
      </c>
      <c r="B1277" t="str">
        <f>T("   Interrupteurs, sectionneurs et commutateurs, pour une tension &lt;= 1.000 V (autres que relais et disjoncteurs)")</f>
        <v xml:space="preserve">   Interrupteurs, sectionneurs et commutateurs, pour une tension &lt;= 1.000 V (autres que relais et disjoncteurs)</v>
      </c>
      <c r="C1277">
        <v>226306</v>
      </c>
      <c r="D1277">
        <v>22</v>
      </c>
    </row>
    <row r="1278" spans="1:4" x14ac:dyDescent="0.25">
      <c r="A1278" t="str">
        <f>T("   854210")</f>
        <v xml:space="preserve">   854210</v>
      </c>
      <c r="B1278" t="str">
        <f>T("   Cartes munies d'un circuit intégré électronique [cartes intelligentes], munies ou non d'une piste magnétique")</f>
        <v xml:space="preserve">   Cartes munies d'un circuit intégré électronique [cartes intelligentes], munies ou non d'une piste magnétique</v>
      </c>
      <c r="C1278">
        <v>115044</v>
      </c>
      <c r="D1278">
        <v>1</v>
      </c>
    </row>
    <row r="1279" spans="1:4" x14ac:dyDescent="0.25">
      <c r="A1279" t="str">
        <f>T("   854420")</f>
        <v xml:space="preserve">   854420</v>
      </c>
      <c r="B1279" t="str">
        <f>T("   Câbles coaxiaux et autres conducteurs électriques coaxiaux, isolés")</f>
        <v xml:space="preserve">   Câbles coaxiaux et autres conducteurs électriques coaxiaux, isolés</v>
      </c>
      <c r="C1279">
        <v>5331469</v>
      </c>
      <c r="D1279">
        <v>225</v>
      </c>
    </row>
    <row r="1280" spans="1:4" x14ac:dyDescent="0.25">
      <c r="A1280" t="str">
        <f>T("   854459")</f>
        <v xml:space="preserve">   854459</v>
      </c>
      <c r="B1280" t="str">
        <f>T("   Conducteurs électriques, pour tension &gt; 80 V mais &lt;= 1.000 V, sans pièces de connexion, n.d.a.")</f>
        <v xml:space="preserve">   Conducteurs électriques, pour tension &gt; 80 V mais &lt;= 1.000 V, sans pièces de connexion, n.d.a.</v>
      </c>
      <c r="C1280">
        <v>8793157</v>
      </c>
      <c r="D1280">
        <v>4000</v>
      </c>
    </row>
    <row r="1281" spans="1:4" x14ac:dyDescent="0.25">
      <c r="A1281" t="str">
        <f>T("   870120")</f>
        <v xml:space="preserve">   870120</v>
      </c>
      <c r="B1281" t="str">
        <f>T("   Tracteurs routiers pour semi-remorques")</f>
        <v xml:space="preserve">   Tracteurs routiers pour semi-remorques</v>
      </c>
      <c r="C1281">
        <v>4000000</v>
      </c>
      <c r="D1281">
        <v>7500</v>
      </c>
    </row>
    <row r="1282" spans="1:4" x14ac:dyDescent="0.25">
      <c r="A1282" t="str">
        <f>T("   870210")</f>
        <v xml:space="preserve">   870210</v>
      </c>
      <c r="B1282" t="s">
        <v>469</v>
      </c>
      <c r="C1282">
        <v>11211920</v>
      </c>
      <c r="D1282">
        <v>18275</v>
      </c>
    </row>
    <row r="1283" spans="1:4" x14ac:dyDescent="0.25">
      <c r="A1283" t="str">
        <f>T("   870290")</f>
        <v xml:space="preserve">   870290</v>
      </c>
      <c r="B1283" t="s">
        <v>470</v>
      </c>
      <c r="C1283">
        <v>45629940</v>
      </c>
      <c r="D1283">
        <v>58130</v>
      </c>
    </row>
    <row r="1284" spans="1:4" x14ac:dyDescent="0.25">
      <c r="A1284" t="str">
        <f>T("   870322")</f>
        <v xml:space="preserve">   870322</v>
      </c>
      <c r="B1284" t="s">
        <v>472</v>
      </c>
      <c r="C1284">
        <v>581034769</v>
      </c>
      <c r="D1284">
        <v>499229</v>
      </c>
    </row>
    <row r="1285" spans="1:4" x14ac:dyDescent="0.25">
      <c r="A1285" t="str">
        <f>T("   870323")</f>
        <v xml:space="preserve">   870323</v>
      </c>
      <c r="B1285" t="s">
        <v>473</v>
      </c>
      <c r="C1285">
        <v>45275835</v>
      </c>
      <c r="D1285">
        <v>43878</v>
      </c>
    </row>
    <row r="1286" spans="1:4" x14ac:dyDescent="0.25">
      <c r="A1286" t="str">
        <f>T("   870324")</f>
        <v xml:space="preserve">   870324</v>
      </c>
      <c r="B1286" t="s">
        <v>474</v>
      </c>
      <c r="C1286">
        <v>4763200</v>
      </c>
      <c r="D1286">
        <v>4005</v>
      </c>
    </row>
    <row r="1287" spans="1:4" x14ac:dyDescent="0.25">
      <c r="A1287" t="str">
        <f>T("   870421")</f>
        <v xml:space="preserve">   870421</v>
      </c>
      <c r="B1287" t="s">
        <v>478</v>
      </c>
      <c r="C1287">
        <v>85200000</v>
      </c>
      <c r="D1287">
        <v>105770</v>
      </c>
    </row>
    <row r="1288" spans="1:4" x14ac:dyDescent="0.25">
      <c r="A1288" t="str">
        <f>T("   870422")</f>
        <v xml:space="preserve">   870422</v>
      </c>
      <c r="B1288" t="s">
        <v>479</v>
      </c>
      <c r="C1288">
        <v>5547477</v>
      </c>
      <c r="D1288">
        <v>16700</v>
      </c>
    </row>
    <row r="1289" spans="1:4" x14ac:dyDescent="0.25">
      <c r="A1289" t="str">
        <f>T("   870431")</f>
        <v xml:space="preserve">   870431</v>
      </c>
      <c r="B1289" t="s">
        <v>481</v>
      </c>
      <c r="C1289">
        <v>27090180</v>
      </c>
      <c r="D1289">
        <v>29505</v>
      </c>
    </row>
    <row r="1290" spans="1:4" x14ac:dyDescent="0.25">
      <c r="A1290" t="str">
        <f>T("   870490")</f>
        <v xml:space="preserve">   870490</v>
      </c>
      <c r="B1290"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1290">
        <v>3600000</v>
      </c>
      <c r="D1290">
        <v>7140</v>
      </c>
    </row>
    <row r="1291" spans="1:4" x14ac:dyDescent="0.25">
      <c r="A1291" t="str">
        <f>T("   870899")</f>
        <v xml:space="preserve">   870899</v>
      </c>
      <c r="B129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291">
        <v>4495950</v>
      </c>
      <c r="D1291">
        <v>17</v>
      </c>
    </row>
    <row r="1292" spans="1:4" x14ac:dyDescent="0.25">
      <c r="A1292" t="str">
        <f>T("   871411")</f>
        <v xml:space="preserve">   871411</v>
      </c>
      <c r="B1292" t="str">
        <f>T("   Selles de motocycles, y.c. de cyclomoteurs")</f>
        <v xml:space="preserve">   Selles de motocycles, y.c. de cyclomoteurs</v>
      </c>
      <c r="C1292">
        <v>300000</v>
      </c>
      <c r="D1292">
        <v>100</v>
      </c>
    </row>
    <row r="1293" spans="1:4" x14ac:dyDescent="0.25">
      <c r="A1293" t="str">
        <f>T("   871640")</f>
        <v xml:space="preserve">   871640</v>
      </c>
      <c r="B1293"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293">
        <v>4000000</v>
      </c>
      <c r="D1293">
        <v>13850</v>
      </c>
    </row>
    <row r="1294" spans="1:4" x14ac:dyDescent="0.25">
      <c r="A1294" t="str">
        <f>T("   900719")</f>
        <v xml:space="preserve">   900719</v>
      </c>
      <c r="B1294" t="str">
        <f>T("   Caméras cinématographiques, pour films d'une largeur &gt;= 16 mm (à l'excl. des films double-8 mm)")</f>
        <v xml:space="preserve">   Caméras cinématographiques, pour films d'une largeur &gt;= 16 mm (à l'excl. des films double-8 mm)</v>
      </c>
      <c r="C1294">
        <v>229905</v>
      </c>
      <c r="D1294">
        <v>122</v>
      </c>
    </row>
    <row r="1295" spans="1:4" x14ac:dyDescent="0.25">
      <c r="A1295" t="str">
        <f>T("   900791")</f>
        <v xml:space="preserve">   900791</v>
      </c>
      <c r="B1295" t="str">
        <f>T("   PARTIES ET ACCESSOIRES DE CAMÉRAS CINEMATOGRAPHIQUES, N.D.A.")</f>
        <v xml:space="preserve">   PARTIES ET ACCESSOIRES DE CAMÉRAS CINEMATOGRAPHIQUES, N.D.A.</v>
      </c>
      <c r="C1295">
        <v>541040</v>
      </c>
      <c r="D1295">
        <v>228</v>
      </c>
    </row>
    <row r="1296" spans="1:4" x14ac:dyDescent="0.25">
      <c r="A1296" t="str">
        <f>T("   901890")</f>
        <v xml:space="preserve">   901890</v>
      </c>
      <c r="B1296" t="str">
        <f>T("   Instruments et appareils pour la médecine, la chirurgie ou l'art vétérinaire, n.d.a.")</f>
        <v xml:space="preserve">   Instruments et appareils pour la médecine, la chirurgie ou l'art vétérinaire, n.d.a.</v>
      </c>
      <c r="C1296">
        <v>1970129</v>
      </c>
      <c r="D1296">
        <v>36</v>
      </c>
    </row>
    <row r="1297" spans="1:4" x14ac:dyDescent="0.25">
      <c r="A1297" t="str">
        <f>T("   902139")</f>
        <v xml:space="preserve">   902139</v>
      </c>
      <c r="B1297" t="str">
        <f>T("   Articles et appareils de prothèse (sauf de prothèse dentaire et prothèses articulaires)")</f>
        <v xml:space="preserve">   Articles et appareils de prothèse (sauf de prothèse dentaire et prothèses articulaires)</v>
      </c>
      <c r="C1297">
        <v>3948125</v>
      </c>
      <c r="D1297">
        <v>231</v>
      </c>
    </row>
    <row r="1298" spans="1:4" x14ac:dyDescent="0.25">
      <c r="A1298" t="str">
        <f>T("   902213")</f>
        <v xml:space="preserve">   902213</v>
      </c>
      <c r="B1298" t="str">
        <f>T("   Appareils à rayons X pour l'art dentaire")</f>
        <v xml:space="preserve">   Appareils à rayons X pour l'art dentaire</v>
      </c>
      <c r="C1298">
        <v>810111</v>
      </c>
      <c r="D1298">
        <v>203</v>
      </c>
    </row>
    <row r="1299" spans="1:4" x14ac:dyDescent="0.25">
      <c r="A1299" t="str">
        <f>T("   902710")</f>
        <v xml:space="preserve">   902710</v>
      </c>
      <c r="B1299" t="str">
        <f>T("   Analyseurs de gaz ou de fumées")</f>
        <v xml:space="preserve">   Analyseurs de gaz ou de fumées</v>
      </c>
      <c r="C1299">
        <v>297197</v>
      </c>
      <c r="D1299">
        <v>37</v>
      </c>
    </row>
    <row r="1300" spans="1:4" x14ac:dyDescent="0.25">
      <c r="A1300" t="str">
        <f>T("   902820")</f>
        <v xml:space="preserve">   902820</v>
      </c>
      <c r="B1300" t="str">
        <f>T("   Compteurs de liquides, y.c. les compteurs pour leur étalonnage")</f>
        <v xml:space="preserve">   Compteurs de liquides, y.c. les compteurs pour leur étalonnage</v>
      </c>
      <c r="C1300">
        <v>12422046</v>
      </c>
      <c r="D1300">
        <v>211</v>
      </c>
    </row>
    <row r="1301" spans="1:4" x14ac:dyDescent="0.25">
      <c r="A1301" t="str">
        <f>T("   903289")</f>
        <v xml:space="preserve">   903289</v>
      </c>
      <c r="B1301" t="s">
        <v>501</v>
      </c>
      <c r="C1301">
        <v>3136145</v>
      </c>
      <c r="D1301">
        <v>18</v>
      </c>
    </row>
    <row r="1302" spans="1:4" x14ac:dyDescent="0.25">
      <c r="A1302" t="str">
        <f>T("   940490")</f>
        <v xml:space="preserve">   940490</v>
      </c>
      <c r="B1302" t="s">
        <v>505</v>
      </c>
      <c r="C1302">
        <v>60000</v>
      </c>
      <c r="D1302">
        <v>200</v>
      </c>
    </row>
    <row r="1303" spans="1:4" x14ac:dyDescent="0.25">
      <c r="A1303" t="str">
        <f>T("   960810")</f>
        <v xml:space="preserve">   960810</v>
      </c>
      <c r="B1303" t="str">
        <f>T("   Stylos et crayons à bille")</f>
        <v xml:space="preserve">   Stylos et crayons à bille</v>
      </c>
      <c r="C1303">
        <v>4592</v>
      </c>
      <c r="D1303">
        <v>3</v>
      </c>
    </row>
    <row r="1304" spans="1:4" x14ac:dyDescent="0.25">
      <c r="A1304" t="str">
        <f>T("CI")</f>
        <v>CI</v>
      </c>
      <c r="B1304" t="str">
        <f>T("Côte d'Ivoire")</f>
        <v>Côte d'Ivoire</v>
      </c>
    </row>
    <row r="1305" spans="1:4" x14ac:dyDescent="0.25">
      <c r="A1305" t="str">
        <f>T("   ZZ_Total_Produit_SH6")</f>
        <v xml:space="preserve">   ZZ_Total_Produit_SH6</v>
      </c>
      <c r="B1305" t="str">
        <f>T("   ZZ_Total_Produit_SH6")</f>
        <v xml:space="preserve">   ZZ_Total_Produit_SH6</v>
      </c>
      <c r="C1305">
        <v>25236122712.224998</v>
      </c>
      <c r="D1305">
        <v>37928907.549999997</v>
      </c>
    </row>
    <row r="1306" spans="1:4" x14ac:dyDescent="0.25">
      <c r="A1306" t="str">
        <f>T("   110311")</f>
        <v xml:space="preserve">   110311</v>
      </c>
      <c r="B1306" t="str">
        <f>T("   Gruaux et semoules de froment [blé]")</f>
        <v xml:space="preserve">   Gruaux et semoules de froment [blé]</v>
      </c>
      <c r="C1306">
        <v>266597240</v>
      </c>
      <c r="D1306">
        <v>986619</v>
      </c>
    </row>
    <row r="1307" spans="1:4" x14ac:dyDescent="0.25">
      <c r="A1307" t="str">
        <f>T("   151190")</f>
        <v xml:space="preserve">   151190</v>
      </c>
      <c r="B1307" t="str">
        <f>T("   Huile de palme et ses fractions, même raffinées, mais non chimiquement modifiées (à l'excl. de l'huile de palme brute)")</f>
        <v xml:space="preserve">   Huile de palme et ses fractions, même raffinées, mais non chimiquement modifiées (à l'excl. de l'huile de palme brute)</v>
      </c>
      <c r="C1307">
        <v>3726358058.2249999</v>
      </c>
      <c r="D1307">
        <v>9003320</v>
      </c>
    </row>
    <row r="1308" spans="1:4" x14ac:dyDescent="0.25">
      <c r="A1308" t="str">
        <f>T("   170410")</f>
        <v xml:space="preserve">   170410</v>
      </c>
      <c r="B1308" t="str">
        <f>T("   Gommes à mâcher [chewing-gum], même enrobées de sucre")</f>
        <v xml:space="preserve">   Gommes à mâcher [chewing-gum], même enrobées de sucre</v>
      </c>
      <c r="C1308">
        <v>24459912</v>
      </c>
      <c r="D1308">
        <v>12604</v>
      </c>
    </row>
    <row r="1309" spans="1:4" x14ac:dyDescent="0.25">
      <c r="A1309" t="str">
        <f>T("   170490")</f>
        <v xml:space="preserve">   170490</v>
      </c>
      <c r="B1309" t="str">
        <f>T("   Sucreries sans cacao, y.c. le chocolat blanc (à l'excl. des gommes à mâcher)")</f>
        <v xml:space="preserve">   Sucreries sans cacao, y.c. le chocolat blanc (à l'excl. des gommes à mâcher)</v>
      </c>
      <c r="C1309">
        <v>2242721</v>
      </c>
      <c r="D1309">
        <v>3450</v>
      </c>
    </row>
    <row r="1310" spans="1:4" x14ac:dyDescent="0.25">
      <c r="A1310" t="str">
        <f>T("   190219")</f>
        <v xml:space="preserve">   190219</v>
      </c>
      <c r="B1310" t="str">
        <f>T("   PÂTES ALIMENTAIRES NON-CUITES NI FARCIES NI AUTREMENT PRÉPARÉES, NE CONTENANT PAS D'OEUFS")</f>
        <v xml:space="preserve">   PÂTES ALIMENTAIRES NON-CUITES NI FARCIES NI AUTREMENT PRÉPARÉES, NE CONTENANT PAS D'OEUFS</v>
      </c>
      <c r="C1310">
        <v>725368269</v>
      </c>
      <c r="D1310">
        <v>2264420</v>
      </c>
    </row>
    <row r="1311" spans="1:4" x14ac:dyDescent="0.25">
      <c r="A1311" t="str">
        <f>T("   190230")</f>
        <v xml:space="preserve">   190230</v>
      </c>
      <c r="B1311" t="str">
        <f>T("   Pâtes alimentaires, cuites ou autrement préparées (à l'excl. des pâtes alimentaires farcies)")</f>
        <v xml:space="preserve">   Pâtes alimentaires, cuites ou autrement préparées (à l'excl. des pâtes alimentaires farcies)</v>
      </c>
      <c r="C1311">
        <v>89375000</v>
      </c>
      <c r="D1311">
        <v>325000</v>
      </c>
    </row>
    <row r="1312" spans="1:4" x14ac:dyDescent="0.25">
      <c r="A1312" t="str">
        <f>T("   210111")</f>
        <v xml:space="preserve">   210111</v>
      </c>
      <c r="B1312" t="str">
        <f>T("   Extraits, essences et concentrés de café")</f>
        <v xml:space="preserve">   Extraits, essences et concentrés de café</v>
      </c>
      <c r="C1312">
        <v>411334545</v>
      </c>
      <c r="D1312">
        <v>55612.800000000003</v>
      </c>
    </row>
    <row r="1313" spans="1:4" x14ac:dyDescent="0.25">
      <c r="A1313" t="str">
        <f>T("   210112")</f>
        <v xml:space="preserve">   210112</v>
      </c>
      <c r="B1313" t="str">
        <f>T("   Préparations à base d'extraits, essences ou concentrés de café ou à base de café")</f>
        <v xml:space="preserve">   Préparations à base d'extraits, essences ou concentrés de café ou à base de café</v>
      </c>
      <c r="C1313">
        <v>250223135</v>
      </c>
      <c r="D1313">
        <v>29045</v>
      </c>
    </row>
    <row r="1314" spans="1:4" x14ac:dyDescent="0.25">
      <c r="A1314" t="str">
        <f>T("   210410")</f>
        <v xml:space="preserve">   210410</v>
      </c>
      <c r="B1314" t="str">
        <f>T("   Préparations pour soupes, potages ou bouillons; soupes, potages ou bouillons préparés")</f>
        <v xml:space="preserve">   Préparations pour soupes, potages ou bouillons; soupes, potages ou bouillons préparés</v>
      </c>
      <c r="C1314">
        <v>109637380</v>
      </c>
      <c r="D1314">
        <v>66000</v>
      </c>
    </row>
    <row r="1315" spans="1:4" x14ac:dyDescent="0.25">
      <c r="A1315" t="str">
        <f>T("   220110")</f>
        <v xml:space="preserve">   220110</v>
      </c>
      <c r="B1315" t="str">
        <f>T("   Eaux minérales et eaux gazéifiées, non additionnées de sucre ou d'autres édulcorants ni aromatisées")</f>
        <v xml:space="preserve">   Eaux minérales et eaux gazéifiées, non additionnées de sucre ou d'autres édulcorants ni aromatisées</v>
      </c>
      <c r="C1315">
        <v>3896028</v>
      </c>
      <c r="D1315">
        <v>18040</v>
      </c>
    </row>
    <row r="1316" spans="1:4" x14ac:dyDescent="0.25">
      <c r="A1316" t="str">
        <f>T("   220710")</f>
        <v xml:space="preserve">   220710</v>
      </c>
      <c r="B1316" t="str">
        <f>T("   Alcool éthylique non dénaturé d'un titre alcoométrique volumique &gt;= 80% vol")</f>
        <v xml:space="preserve">   Alcool éthylique non dénaturé d'un titre alcoométrique volumique &gt;= 80% vol</v>
      </c>
      <c r="C1316">
        <v>4321989</v>
      </c>
      <c r="D1316">
        <v>16300</v>
      </c>
    </row>
    <row r="1317" spans="1:4" x14ac:dyDescent="0.25">
      <c r="A1317" t="str">
        <f>T("   240220")</f>
        <v xml:space="preserve">   240220</v>
      </c>
      <c r="B1317" t="str">
        <f>T("   Cigarettes contenant du tabac")</f>
        <v xml:space="preserve">   Cigarettes contenant du tabac</v>
      </c>
      <c r="C1317">
        <v>1183200040</v>
      </c>
      <c r="D1317">
        <v>171716</v>
      </c>
    </row>
    <row r="1318" spans="1:4" x14ac:dyDescent="0.25">
      <c r="A1318" t="str">
        <f>T("   250870")</f>
        <v xml:space="preserve">   250870</v>
      </c>
      <c r="B1318" t="str">
        <f>T("   Terres de chamotte ou de dinas")</f>
        <v xml:space="preserve">   Terres de chamotte ou de dinas</v>
      </c>
      <c r="C1318">
        <v>5316719</v>
      </c>
      <c r="D1318">
        <v>4150</v>
      </c>
    </row>
    <row r="1319" spans="1:4" x14ac:dyDescent="0.25">
      <c r="A1319" t="str">
        <f>T("   252330")</f>
        <v xml:space="preserve">   252330</v>
      </c>
      <c r="B1319" t="str">
        <f>T("   CIMENTS ALUMINEUX [01/01/1988-31/12/1988: CIMENTS ALUMINEUX OU FONDUS]")</f>
        <v xml:space="preserve">   CIMENTS ALUMINEUX [01/01/1988-31/12/1988: CIMENTS ALUMINEUX OU FONDUS]</v>
      </c>
      <c r="C1319">
        <v>2199627</v>
      </c>
      <c r="D1319">
        <v>2672</v>
      </c>
    </row>
    <row r="1320" spans="1:4" x14ac:dyDescent="0.25">
      <c r="A1320" t="str">
        <f>T("   271011")</f>
        <v xml:space="preserve">   271011</v>
      </c>
      <c r="B1320"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320">
        <v>5287000</v>
      </c>
      <c r="D1320">
        <v>253380</v>
      </c>
    </row>
    <row r="1321" spans="1:4" x14ac:dyDescent="0.25">
      <c r="A1321" t="str">
        <f>T("   271019")</f>
        <v xml:space="preserve">   271019</v>
      </c>
      <c r="B1321" t="str">
        <f>T("   Huiles moyennes et préparations, de pétrole ou de minéraux bitumineux, n.d.a.")</f>
        <v xml:space="preserve">   Huiles moyennes et préparations, de pétrole ou de minéraux bitumineux, n.d.a.</v>
      </c>
      <c r="C1321">
        <v>3744510491</v>
      </c>
      <c r="D1321">
        <v>15608047</v>
      </c>
    </row>
    <row r="1322" spans="1:4" x14ac:dyDescent="0.25">
      <c r="A1322" t="str">
        <f>T("   271320")</f>
        <v xml:space="preserve">   271320</v>
      </c>
      <c r="B1322" t="str">
        <f>T("   Bitume de pétrole")</f>
        <v xml:space="preserve">   Bitume de pétrole</v>
      </c>
      <c r="C1322">
        <v>103513689</v>
      </c>
      <c r="D1322">
        <v>245740</v>
      </c>
    </row>
    <row r="1323" spans="1:4" x14ac:dyDescent="0.25">
      <c r="A1323" t="str">
        <f>T("   271500")</f>
        <v xml:space="preserve">   271500</v>
      </c>
      <c r="B1323"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1323">
        <v>1514166</v>
      </c>
      <c r="D1323">
        <v>7020</v>
      </c>
    </row>
    <row r="1324" spans="1:4" x14ac:dyDescent="0.25">
      <c r="A1324" t="str">
        <f>T("   280429")</f>
        <v xml:space="preserve">   280429</v>
      </c>
      <c r="B1324" t="str">
        <f>T("   Gaz rares (à l'excl. de l'argon)")</f>
        <v xml:space="preserve">   Gaz rares (à l'excl. de l'argon)</v>
      </c>
      <c r="C1324">
        <v>893150</v>
      </c>
      <c r="D1324">
        <v>300</v>
      </c>
    </row>
    <row r="1325" spans="1:4" x14ac:dyDescent="0.25">
      <c r="A1325" t="str">
        <f>T("   280440")</f>
        <v xml:space="preserve">   280440</v>
      </c>
      <c r="B1325" t="str">
        <f>T("   Oxygène")</f>
        <v xml:space="preserve">   Oxygène</v>
      </c>
      <c r="C1325">
        <v>4118098</v>
      </c>
      <c r="D1325">
        <v>5460</v>
      </c>
    </row>
    <row r="1326" spans="1:4" x14ac:dyDescent="0.25">
      <c r="A1326" t="str">
        <f>T("   290110")</f>
        <v xml:space="preserve">   290110</v>
      </c>
      <c r="B1326" t="str">
        <f>T("   Hydrocarbures acycliques, saturés")</f>
        <v xml:space="preserve">   Hydrocarbures acycliques, saturés</v>
      </c>
      <c r="C1326">
        <v>160609736</v>
      </c>
      <c r="D1326">
        <v>140330</v>
      </c>
    </row>
    <row r="1327" spans="1:4" x14ac:dyDescent="0.25">
      <c r="A1327" t="str">
        <f>T("   290545")</f>
        <v xml:space="preserve">   290545</v>
      </c>
      <c r="B1327" t="str">
        <f>T("   Glycérol")</f>
        <v xml:space="preserve">   Glycérol</v>
      </c>
      <c r="C1327">
        <v>1834286</v>
      </c>
      <c r="D1327">
        <v>500</v>
      </c>
    </row>
    <row r="1328" spans="1:4" x14ac:dyDescent="0.25">
      <c r="A1328" t="str">
        <f>T("   300490")</f>
        <v xml:space="preserve">   300490</v>
      </c>
      <c r="B1328" t="s">
        <v>79</v>
      </c>
      <c r="C1328">
        <v>614863</v>
      </c>
      <c r="D1328">
        <v>7000</v>
      </c>
    </row>
    <row r="1329" spans="1:4" x14ac:dyDescent="0.25">
      <c r="A1329" t="str">
        <f>T("   320820")</f>
        <v xml:space="preserve">   320820</v>
      </c>
      <c r="B1329" t="s">
        <v>92</v>
      </c>
      <c r="C1329">
        <v>11149200</v>
      </c>
      <c r="D1329">
        <v>48070</v>
      </c>
    </row>
    <row r="1330" spans="1:4" x14ac:dyDescent="0.25">
      <c r="A1330" t="str">
        <f>T("   320890")</f>
        <v xml:space="preserve">   320890</v>
      </c>
      <c r="B1330" t="s">
        <v>93</v>
      </c>
      <c r="C1330">
        <v>5797198</v>
      </c>
      <c r="D1330">
        <v>9600</v>
      </c>
    </row>
    <row r="1331" spans="1:4" x14ac:dyDescent="0.25">
      <c r="A1331" t="str">
        <f>T("   320910")</f>
        <v xml:space="preserve">   320910</v>
      </c>
      <c r="B1331" t="str">
        <f>T("   Peintures et vernis à base de polymères acryliques ou vinyliques, dispersés ou dissous dans un milieu aqueux")</f>
        <v xml:space="preserve">   Peintures et vernis à base de polymères acryliques ou vinyliques, dispersés ou dissous dans un milieu aqueux</v>
      </c>
      <c r="C1331">
        <v>5501970</v>
      </c>
      <c r="D1331">
        <v>31250</v>
      </c>
    </row>
    <row r="1332" spans="1:4" x14ac:dyDescent="0.25">
      <c r="A1332" t="str">
        <f>T("   321290")</f>
        <v xml:space="preserve">   321290</v>
      </c>
      <c r="B1332" t="s">
        <v>94</v>
      </c>
      <c r="C1332">
        <v>5919583</v>
      </c>
      <c r="D1332">
        <v>4411</v>
      </c>
    </row>
    <row r="1333" spans="1:4" x14ac:dyDescent="0.25">
      <c r="A1333" t="str">
        <f>T("   321511")</f>
        <v xml:space="preserve">   321511</v>
      </c>
      <c r="B1333" t="str">
        <f>T("   Encres d'imprimerie, noires, même concentrées ou sous formes solides")</f>
        <v xml:space="preserve">   Encres d'imprimerie, noires, même concentrées ou sous formes solides</v>
      </c>
      <c r="C1333">
        <v>1865737</v>
      </c>
      <c r="D1333">
        <v>324</v>
      </c>
    </row>
    <row r="1334" spans="1:4" x14ac:dyDescent="0.25">
      <c r="A1334" t="str">
        <f>T("   330300")</f>
        <v xml:space="preserve">   330300</v>
      </c>
      <c r="B1334"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334">
        <v>22875546</v>
      </c>
      <c r="D1334">
        <v>54580</v>
      </c>
    </row>
    <row r="1335" spans="1:4" x14ac:dyDescent="0.25">
      <c r="A1335" t="str">
        <f>T("   330430")</f>
        <v xml:space="preserve">   330430</v>
      </c>
      <c r="B1335" t="str">
        <f>T("   Préparations pour manucures ou pédicures")</f>
        <v xml:space="preserve">   Préparations pour manucures ou pédicures</v>
      </c>
      <c r="C1335">
        <v>400291</v>
      </c>
      <c r="D1335">
        <v>450</v>
      </c>
    </row>
    <row r="1336" spans="1:4" x14ac:dyDescent="0.25">
      <c r="A1336" t="str">
        <f>T("   330491")</f>
        <v xml:space="preserve">   330491</v>
      </c>
      <c r="B1336"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1336">
        <v>4105525</v>
      </c>
      <c r="D1336">
        <v>8259</v>
      </c>
    </row>
    <row r="1337" spans="1:4" x14ac:dyDescent="0.25">
      <c r="A1337" t="str">
        <f>T("   330499")</f>
        <v xml:space="preserve">   330499</v>
      </c>
      <c r="B1337" t="s">
        <v>97</v>
      </c>
      <c r="C1337">
        <v>67462927</v>
      </c>
      <c r="D1337">
        <v>144531</v>
      </c>
    </row>
    <row r="1338" spans="1:4" x14ac:dyDescent="0.25">
      <c r="A1338" t="str">
        <f>T("   330520")</f>
        <v xml:space="preserve">   330520</v>
      </c>
      <c r="B1338" t="str">
        <f>T("   Préparations pour l'ondulation ou le défrisage permanents")</f>
        <v xml:space="preserve">   Préparations pour l'ondulation ou le défrisage permanents</v>
      </c>
      <c r="C1338">
        <v>6263727</v>
      </c>
      <c r="D1338">
        <v>12951</v>
      </c>
    </row>
    <row r="1339" spans="1:4" x14ac:dyDescent="0.25">
      <c r="A1339" t="str">
        <f>T("   330590")</f>
        <v xml:space="preserve">   330590</v>
      </c>
      <c r="B1339"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339">
        <v>13215204</v>
      </c>
      <c r="D1339">
        <v>24791</v>
      </c>
    </row>
    <row r="1340" spans="1:4" x14ac:dyDescent="0.25">
      <c r="A1340" t="str">
        <f>T("   330610")</f>
        <v xml:space="preserve">   330610</v>
      </c>
      <c r="B1340" t="str">
        <f>T("   Dentifrices, préparés, même des types utilisés par les dentistes")</f>
        <v xml:space="preserve">   Dentifrices, préparés, même des types utilisés par les dentistes</v>
      </c>
      <c r="C1340">
        <v>42888447</v>
      </c>
      <c r="D1340">
        <v>14990</v>
      </c>
    </row>
    <row r="1341" spans="1:4" x14ac:dyDescent="0.25">
      <c r="A1341" t="str">
        <f>T("   330720")</f>
        <v xml:space="preserve">   330720</v>
      </c>
      <c r="B1341" t="str">
        <f>T("   Désodorisants corporels et antisudoraux, préparés")</f>
        <v xml:space="preserve">   Désodorisants corporels et antisudoraux, préparés</v>
      </c>
      <c r="C1341">
        <v>1665967</v>
      </c>
      <c r="D1341">
        <v>937</v>
      </c>
    </row>
    <row r="1342" spans="1:4" x14ac:dyDescent="0.25">
      <c r="A1342" t="str">
        <f>T("   340111")</f>
        <v xml:space="preserve">   340111</v>
      </c>
      <c r="B1342" t="s">
        <v>98</v>
      </c>
      <c r="C1342">
        <v>41040461</v>
      </c>
      <c r="D1342">
        <v>41914</v>
      </c>
    </row>
    <row r="1343" spans="1:4" x14ac:dyDescent="0.25">
      <c r="A1343" t="str">
        <f>T("   340119")</f>
        <v xml:space="preserve">   340119</v>
      </c>
      <c r="B1343" t="s">
        <v>99</v>
      </c>
      <c r="C1343">
        <v>358727412</v>
      </c>
      <c r="D1343">
        <v>536061</v>
      </c>
    </row>
    <row r="1344" spans="1:4" x14ac:dyDescent="0.25">
      <c r="A1344" t="str">
        <f>T("   340220")</f>
        <v xml:space="preserve">   340220</v>
      </c>
      <c r="B1344" t="s">
        <v>100</v>
      </c>
      <c r="C1344">
        <v>126382924</v>
      </c>
      <c r="D1344">
        <v>145067</v>
      </c>
    </row>
    <row r="1345" spans="1:4" x14ac:dyDescent="0.25">
      <c r="A1345" t="str">
        <f>T("   380810")</f>
        <v xml:space="preserve">   380810</v>
      </c>
      <c r="B1345"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345">
        <v>2070420253</v>
      </c>
      <c r="D1345">
        <v>571318</v>
      </c>
    </row>
    <row r="1346" spans="1:4" x14ac:dyDescent="0.25">
      <c r="A1346" t="str">
        <f>T("   380830")</f>
        <v xml:space="preserve">   380830</v>
      </c>
      <c r="B1346" t="str">
        <f>T("   Herbicides, inhibiteurs de germination et régulateurs de croissance pour plantes, présentés dans des formes ou emballages de vente au détail ou à l'état de préparations ou sous forme d'articles")</f>
        <v xml:space="preserve">   Herbicides, inhibiteurs de germination et régulateurs de croissance pour plantes, présentés dans des formes ou emballages de vente au détail ou à l'état de préparations ou sous forme d'articles</v>
      </c>
      <c r="C1346">
        <v>2111392563</v>
      </c>
      <c r="D1346">
        <v>485652</v>
      </c>
    </row>
    <row r="1347" spans="1:4" x14ac:dyDescent="0.25">
      <c r="A1347" t="str">
        <f>T("   380840")</f>
        <v xml:space="preserve">   380840</v>
      </c>
      <c r="B1347"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1347">
        <v>5404277</v>
      </c>
      <c r="D1347">
        <v>15102</v>
      </c>
    </row>
    <row r="1348" spans="1:4" x14ac:dyDescent="0.25">
      <c r="A1348" t="str">
        <f>T("   381190")</f>
        <v xml:space="preserve">   381190</v>
      </c>
      <c r="B1348" t="s">
        <v>120</v>
      </c>
      <c r="C1348">
        <v>7462958</v>
      </c>
      <c r="D1348">
        <v>1492</v>
      </c>
    </row>
    <row r="1349" spans="1:4" x14ac:dyDescent="0.25">
      <c r="A1349" t="str">
        <f>T("   381400")</f>
        <v xml:space="preserve">   381400</v>
      </c>
      <c r="B1349"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1349">
        <v>1421514</v>
      </c>
      <c r="D1349">
        <v>684</v>
      </c>
    </row>
    <row r="1350" spans="1:4" x14ac:dyDescent="0.25">
      <c r="A1350" t="str">
        <f>T("   381600")</f>
        <v xml:space="preserve">   381600</v>
      </c>
      <c r="B1350"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1350">
        <v>1519536</v>
      </c>
      <c r="D1350">
        <v>2968</v>
      </c>
    </row>
    <row r="1351" spans="1:4" x14ac:dyDescent="0.25">
      <c r="A1351" t="str">
        <f>T("   391721")</f>
        <v xml:space="preserve">   391721</v>
      </c>
      <c r="B1351" t="str">
        <f>T("   TUBES ET TUYAUX RIGIDES, EN POLYMÈRES DE L'ÉTHYLÈNE")</f>
        <v xml:space="preserve">   TUBES ET TUYAUX RIGIDES, EN POLYMÈRES DE L'ÉTHYLÈNE</v>
      </c>
      <c r="C1351">
        <v>304993</v>
      </c>
      <c r="D1351">
        <v>161</v>
      </c>
    </row>
    <row r="1352" spans="1:4" x14ac:dyDescent="0.25">
      <c r="A1352" t="str">
        <f>T("   391723")</f>
        <v xml:space="preserve">   391723</v>
      </c>
      <c r="B1352" t="str">
        <f>T("   TUBES ET TUYAUX RIGIDES, EN POLYMÈRES DU CHLORURE DE VINYLE")</f>
        <v xml:space="preserve">   TUBES ET TUYAUX RIGIDES, EN POLYMÈRES DU CHLORURE DE VINYLE</v>
      </c>
      <c r="C1352">
        <v>63582893</v>
      </c>
      <c r="D1352">
        <v>59358</v>
      </c>
    </row>
    <row r="1353" spans="1:4" x14ac:dyDescent="0.25">
      <c r="A1353" t="str">
        <f>T("   391740")</f>
        <v xml:space="preserve">   391740</v>
      </c>
      <c r="B1353" t="str">
        <f>T("   Accessoires pour tubes ou tuyaux [joints, coudes, raccords, par exemple], en matières plastiques")</f>
        <v xml:space="preserve">   Accessoires pour tubes ou tuyaux [joints, coudes, raccords, par exemple], en matières plastiques</v>
      </c>
      <c r="C1353">
        <v>41985452</v>
      </c>
      <c r="D1353">
        <v>36152</v>
      </c>
    </row>
    <row r="1354" spans="1:4" x14ac:dyDescent="0.25">
      <c r="A1354" t="str">
        <f>T("   392020")</f>
        <v xml:space="preserve">   392020</v>
      </c>
      <c r="B1354" t="s">
        <v>129</v>
      </c>
      <c r="C1354">
        <v>57723300</v>
      </c>
      <c r="D1354">
        <v>32362</v>
      </c>
    </row>
    <row r="1355" spans="1:4" x14ac:dyDescent="0.25">
      <c r="A1355" t="str">
        <f>T("   392190")</f>
        <v xml:space="preserve">   392190</v>
      </c>
      <c r="B1355" t="s">
        <v>141</v>
      </c>
      <c r="C1355">
        <v>9615126</v>
      </c>
      <c r="D1355">
        <v>5031</v>
      </c>
    </row>
    <row r="1356" spans="1:4" x14ac:dyDescent="0.25">
      <c r="A1356" t="str">
        <f>T("   392321")</f>
        <v xml:space="preserve">   392321</v>
      </c>
      <c r="B1356" t="str">
        <f>T("   Sacs, sachets, pochettes et cornets, en polymères de l'éthylène")</f>
        <v xml:space="preserve">   Sacs, sachets, pochettes et cornets, en polymères de l'éthylène</v>
      </c>
      <c r="C1356">
        <v>136396265</v>
      </c>
      <c r="D1356">
        <v>59039</v>
      </c>
    </row>
    <row r="1357" spans="1:4" x14ac:dyDescent="0.25">
      <c r="A1357" t="str">
        <f>T("   392329")</f>
        <v xml:space="preserve">   392329</v>
      </c>
      <c r="B1357" t="str">
        <f>T("   Sacs, sachets, pochettes et cornets, en matières plastiques (autres que les polymères de l'éthylène)")</f>
        <v xml:space="preserve">   Sacs, sachets, pochettes et cornets, en matières plastiques (autres que les polymères de l'éthylène)</v>
      </c>
      <c r="C1357">
        <v>8993029</v>
      </c>
      <c r="D1357">
        <v>3207</v>
      </c>
    </row>
    <row r="1358" spans="1:4" x14ac:dyDescent="0.25">
      <c r="A1358" t="str">
        <f>T("   392330")</f>
        <v xml:space="preserve">   392330</v>
      </c>
      <c r="B1358" t="str">
        <f>T("   Bonbonnes, bouteilles, flacons et articles simil. pour le transport ou l'emballage, en matières plastiques")</f>
        <v xml:space="preserve">   Bonbonnes, bouteilles, flacons et articles simil. pour le transport ou l'emballage, en matières plastiques</v>
      </c>
      <c r="C1358">
        <v>528670683</v>
      </c>
      <c r="D1358">
        <v>381610</v>
      </c>
    </row>
    <row r="1359" spans="1:4" x14ac:dyDescent="0.25">
      <c r="A1359" t="str">
        <f>T("   392490")</f>
        <v xml:space="preserve">   392490</v>
      </c>
      <c r="B1359" t="s">
        <v>143</v>
      </c>
      <c r="C1359">
        <v>51405569</v>
      </c>
      <c r="D1359">
        <v>28094</v>
      </c>
    </row>
    <row r="1360" spans="1:4" x14ac:dyDescent="0.25">
      <c r="A1360" t="str">
        <f>T("   392690")</f>
        <v xml:space="preserve">   392690</v>
      </c>
      <c r="B1360" t="str">
        <f>T("   Ouvrages en matières plastiques et ouvrages en autres matières du n° 3901 à 3914, n.d.a.")</f>
        <v xml:space="preserve">   Ouvrages en matières plastiques et ouvrages en autres matières du n° 3901 à 3914, n.d.a.</v>
      </c>
      <c r="C1360">
        <v>5000000</v>
      </c>
      <c r="D1360">
        <v>15900</v>
      </c>
    </row>
    <row r="1361" spans="1:4" x14ac:dyDescent="0.25">
      <c r="A1361" t="str">
        <f>T("   400942")</f>
        <v xml:space="preserve">   400942</v>
      </c>
      <c r="B1361" t="s">
        <v>150</v>
      </c>
      <c r="C1361">
        <v>2078081</v>
      </c>
      <c r="D1361">
        <v>162</v>
      </c>
    </row>
    <row r="1362" spans="1:4" x14ac:dyDescent="0.25">
      <c r="A1362" t="str">
        <f>T("   401693")</f>
        <v xml:space="preserve">   401693</v>
      </c>
      <c r="B1362" t="str">
        <f>T("   Joints en caoutchouc vulcanisé non durci (à l'excl. des articles en caoutchouc alvéolaire)")</f>
        <v xml:space="preserve">   Joints en caoutchouc vulcanisé non durci (à l'excl. des articles en caoutchouc alvéolaire)</v>
      </c>
      <c r="C1362">
        <v>1889289</v>
      </c>
      <c r="D1362">
        <v>3500</v>
      </c>
    </row>
    <row r="1363" spans="1:4" x14ac:dyDescent="0.25">
      <c r="A1363" t="str">
        <f>T("   420229")</f>
        <v xml:space="preserve">   420229</v>
      </c>
      <c r="B1363"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363">
        <v>7019</v>
      </c>
      <c r="D1363">
        <v>12</v>
      </c>
    </row>
    <row r="1364" spans="1:4" x14ac:dyDescent="0.25">
      <c r="A1364" t="str">
        <f>T("   420690")</f>
        <v xml:space="preserve">   420690</v>
      </c>
      <c r="B1364" t="str">
        <f>T("   Ouvrages en boyaux, en baudruches, en vessies ou en tendons (à l'excl. des catguts stériles et des ligatures stériles simil. pour sutures chirurgicales ainsi que des cordes en boyaux ou des cordes harmoniques)")</f>
        <v xml:space="preserve">   Ouvrages en boyaux, en baudruches, en vessies ou en tendons (à l'excl. des catguts stériles et des ligatures stériles simil. pour sutures chirurgicales ainsi que des cordes en boyaux ou des cordes harmoniques)</v>
      </c>
      <c r="C1364">
        <v>30000</v>
      </c>
      <c r="D1364">
        <v>15</v>
      </c>
    </row>
    <row r="1365" spans="1:4" x14ac:dyDescent="0.25">
      <c r="A1365" t="str">
        <f>T("   440799")</f>
        <v xml:space="preserve">   440799</v>
      </c>
      <c r="B1365" t="s">
        <v>166</v>
      </c>
      <c r="C1365">
        <v>1000000</v>
      </c>
      <c r="D1365">
        <v>34580</v>
      </c>
    </row>
    <row r="1366" spans="1:4" x14ac:dyDescent="0.25">
      <c r="A1366" t="str">
        <f>T("   440890")</f>
        <v xml:space="preserve">   440890</v>
      </c>
      <c r="B1366" t="s">
        <v>167</v>
      </c>
      <c r="C1366">
        <v>91280</v>
      </c>
      <c r="D1366">
        <v>1562</v>
      </c>
    </row>
    <row r="1367" spans="1:4" x14ac:dyDescent="0.25">
      <c r="A1367" t="str">
        <f>T("   441213")</f>
        <v xml:space="preserve">   441213</v>
      </c>
      <c r="B1367" t="s">
        <v>176</v>
      </c>
      <c r="C1367">
        <v>29033557</v>
      </c>
      <c r="D1367">
        <v>155440</v>
      </c>
    </row>
    <row r="1368" spans="1:4" x14ac:dyDescent="0.25">
      <c r="A1368" t="str">
        <f>T("   441219")</f>
        <v xml:space="preserve">   441219</v>
      </c>
      <c r="B1368" t="s">
        <v>178</v>
      </c>
      <c r="C1368">
        <v>138877746</v>
      </c>
      <c r="D1368">
        <v>330042</v>
      </c>
    </row>
    <row r="1369" spans="1:4" x14ac:dyDescent="0.25">
      <c r="A1369" t="str">
        <f>T("   441300")</f>
        <v xml:space="preserve">   441300</v>
      </c>
      <c r="B1369" t="str">
        <f>T("   Bois dits 'densifiés', en blocs, planches, lames ou profilés")</f>
        <v xml:space="preserve">   Bois dits 'densifiés', en blocs, planches, lames ou profilés</v>
      </c>
      <c r="C1369">
        <v>1596757</v>
      </c>
      <c r="D1369">
        <v>5768</v>
      </c>
    </row>
    <row r="1370" spans="1:4" x14ac:dyDescent="0.25">
      <c r="A1370" t="str">
        <f>T("   481840")</f>
        <v xml:space="preserve">   481840</v>
      </c>
      <c r="B1370"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370">
        <v>18983</v>
      </c>
      <c r="D1370">
        <v>25</v>
      </c>
    </row>
    <row r="1371" spans="1:4" x14ac:dyDescent="0.25">
      <c r="A1371" t="str">
        <f>T("   481910")</f>
        <v xml:space="preserve">   481910</v>
      </c>
      <c r="B1371" t="str">
        <f>T("   Boîtes et caisses en papier ou en carton ondulé")</f>
        <v xml:space="preserve">   Boîtes et caisses en papier ou en carton ondulé</v>
      </c>
      <c r="C1371">
        <v>17718378</v>
      </c>
      <c r="D1371">
        <v>672148</v>
      </c>
    </row>
    <row r="1372" spans="1:4" x14ac:dyDescent="0.25">
      <c r="A1372" t="str">
        <f>T("   481930")</f>
        <v xml:space="preserve">   481930</v>
      </c>
      <c r="B1372" t="str">
        <f>T("   Sacs, en papier, carton, ouate de cellulose ou nappes de fibres de cellulose, d'une largeur à la base &gt;= 40 cm")</f>
        <v xml:space="preserve">   Sacs, en papier, carton, ouate de cellulose ou nappes de fibres de cellulose, d'une largeur à la base &gt;= 40 cm</v>
      </c>
      <c r="C1372">
        <v>41705494</v>
      </c>
      <c r="D1372">
        <v>42875</v>
      </c>
    </row>
    <row r="1373" spans="1:4" x14ac:dyDescent="0.25">
      <c r="A1373" t="str">
        <f>T("   490199")</f>
        <v xml:space="preserve">   490199</v>
      </c>
      <c r="B137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373">
        <v>348681</v>
      </c>
      <c r="D1373">
        <v>270</v>
      </c>
    </row>
    <row r="1374" spans="1:4" x14ac:dyDescent="0.25">
      <c r="A1374" t="str">
        <f>T("   490700")</f>
        <v xml:space="preserve">   490700</v>
      </c>
      <c r="B1374" t="s">
        <v>218</v>
      </c>
      <c r="C1374">
        <v>47463900</v>
      </c>
      <c r="D1374">
        <v>2252</v>
      </c>
    </row>
    <row r="1375" spans="1:4" x14ac:dyDescent="0.25">
      <c r="A1375" t="str">
        <f>T("   491000")</f>
        <v xml:space="preserve">   491000</v>
      </c>
      <c r="B1375" t="str">
        <f>T("   Calendriers de tous genres, imprimés, y.c. les blocs de calendriers à effeuiller")</f>
        <v xml:space="preserve">   Calendriers de tous genres, imprimés, y.c. les blocs de calendriers à effeuiller</v>
      </c>
      <c r="C1375">
        <v>289700</v>
      </c>
      <c r="D1375">
        <v>220</v>
      </c>
    </row>
    <row r="1376" spans="1:4" x14ac:dyDescent="0.25">
      <c r="A1376" t="str">
        <f>T("   491110")</f>
        <v xml:space="preserve">   491110</v>
      </c>
      <c r="B1376" t="str">
        <f>T("   Imprimés publicitaires, catalogues commerciaux et simil.")</f>
        <v xml:space="preserve">   Imprimés publicitaires, catalogues commerciaux et simil.</v>
      </c>
      <c r="C1376">
        <v>2712701</v>
      </c>
      <c r="D1376">
        <v>2654</v>
      </c>
    </row>
    <row r="1377" spans="1:4" x14ac:dyDescent="0.25">
      <c r="A1377" t="str">
        <f>T("   520100")</f>
        <v xml:space="preserve">   520100</v>
      </c>
      <c r="B1377" t="str">
        <f>T("   COTON, NON-CARDÉ NI PEIGNÉ")</f>
        <v xml:space="preserve">   COTON, NON-CARDÉ NI PEIGNÉ</v>
      </c>
      <c r="C1377">
        <v>1692804854</v>
      </c>
      <c r="D1377">
        <v>1084890</v>
      </c>
    </row>
    <row r="1378" spans="1:4" x14ac:dyDescent="0.25">
      <c r="A1378" t="str">
        <f>T("   520852")</f>
        <v xml:space="preserve">   520852</v>
      </c>
      <c r="B1378" t="str">
        <f>T("   Tissus de coton, imprimés, à armure toile, contenant &gt;= 85% en poids de coton, d'un poids &gt; 100 g/m² mais &lt;= 200 g/m²")</f>
        <v xml:space="preserve">   Tissus de coton, imprimés, à armure toile, contenant &gt;= 85% en poids de coton, d'un poids &gt; 100 g/m² mais &lt;= 200 g/m²</v>
      </c>
      <c r="C1378">
        <v>4127343509</v>
      </c>
      <c r="D1378">
        <v>469391</v>
      </c>
    </row>
    <row r="1379" spans="1:4" x14ac:dyDescent="0.25">
      <c r="A1379" t="str">
        <f>T("   560749")</f>
        <v xml:space="preserve">   560749</v>
      </c>
      <c r="B1379"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1379">
        <v>1428033</v>
      </c>
      <c r="D1379">
        <v>475</v>
      </c>
    </row>
    <row r="1380" spans="1:4" x14ac:dyDescent="0.25">
      <c r="A1380" t="str">
        <f>T("   560900")</f>
        <v xml:space="preserve">   560900</v>
      </c>
      <c r="B1380" t="str">
        <f>T("   Articles en fils, lames ou formes simil. du n° 5404 ou 5405, ficelles, cordes ou cordages du n° 5607, n.d.a.")</f>
        <v xml:space="preserve">   Articles en fils, lames ou formes simil. du n° 5404 ou 5405, ficelles, cordes ou cordages du n° 5607, n.d.a.</v>
      </c>
      <c r="C1380">
        <v>736175</v>
      </c>
      <c r="D1380">
        <v>3</v>
      </c>
    </row>
    <row r="1381" spans="1:4" x14ac:dyDescent="0.25">
      <c r="A1381" t="str">
        <f>T("   580790")</f>
        <v xml:space="preserve">   580790</v>
      </c>
      <c r="B1381" t="str">
        <f>T("   ÉTIQUETTES, ÉCUSSONS ET ARTICLES SIMIL. EN MATIÈRES TEXTILES, EN PIÈCES, EN RUBANS OU DÉCOUPÉS, NON-BRODÉS (À L'EXCL. DES ARTICLES TISSÉS)")</f>
        <v xml:space="preserve">   ÉTIQUETTES, ÉCUSSONS ET ARTICLES SIMIL. EN MATIÈRES TEXTILES, EN PIÈCES, EN RUBANS OU DÉCOUPÉS, NON-BRODÉS (À L'EXCL. DES ARTICLES TISSÉS)</v>
      </c>
      <c r="C1381">
        <v>1092705</v>
      </c>
      <c r="D1381">
        <v>66</v>
      </c>
    </row>
    <row r="1382" spans="1:4" x14ac:dyDescent="0.25">
      <c r="A1382" t="str">
        <f>T("   610510")</f>
        <v xml:space="preserve">   610510</v>
      </c>
      <c r="B1382"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1382">
        <v>3515302</v>
      </c>
      <c r="D1382">
        <v>180</v>
      </c>
    </row>
    <row r="1383" spans="1:4" x14ac:dyDescent="0.25">
      <c r="A1383" t="str">
        <f>T("   610610")</f>
        <v xml:space="preserve">   610610</v>
      </c>
      <c r="B1383" t="str">
        <f>T("   Chemisiers, blouses, blouses-chemisiers et chemisettes, en bonneterie, de coton, pour femmes ou fillettes (sauf T-shirts et gilets de corps)")</f>
        <v xml:space="preserve">   Chemisiers, blouses, blouses-chemisiers et chemisettes, en bonneterie, de coton, pour femmes ou fillettes (sauf T-shirts et gilets de corps)</v>
      </c>
      <c r="C1383">
        <v>426372</v>
      </c>
      <c r="D1383">
        <v>198</v>
      </c>
    </row>
    <row r="1384" spans="1:4" x14ac:dyDescent="0.25">
      <c r="A1384" t="str">
        <f>T("   610910")</f>
        <v xml:space="preserve">   610910</v>
      </c>
      <c r="B1384" t="str">
        <f>T("   T-shirts et maillots de corps, en bonneterie, de coton,")</f>
        <v xml:space="preserve">   T-shirts et maillots de corps, en bonneterie, de coton,</v>
      </c>
      <c r="C1384">
        <v>21868217</v>
      </c>
      <c r="D1384">
        <v>1927.35</v>
      </c>
    </row>
    <row r="1385" spans="1:4" x14ac:dyDescent="0.25">
      <c r="A1385" t="str">
        <f>T("   620590")</f>
        <v xml:space="preserve">   620590</v>
      </c>
      <c r="B138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385">
        <v>600000</v>
      </c>
      <c r="D1385">
        <v>700</v>
      </c>
    </row>
    <row r="1386" spans="1:4" x14ac:dyDescent="0.25">
      <c r="A1386" t="str">
        <f>T("   630533")</f>
        <v xml:space="preserve">   630533</v>
      </c>
      <c r="B1386"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386">
        <v>211982659</v>
      </c>
      <c r="D1386">
        <v>113832</v>
      </c>
    </row>
    <row r="1387" spans="1:4" x14ac:dyDescent="0.25">
      <c r="A1387" t="str">
        <f>T("   630612")</f>
        <v xml:space="preserve">   630612</v>
      </c>
      <c r="B1387"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1387">
        <v>116919248</v>
      </c>
      <c r="D1387">
        <v>31670</v>
      </c>
    </row>
    <row r="1388" spans="1:4" x14ac:dyDescent="0.25">
      <c r="A1388" t="str">
        <f>T("   630710")</f>
        <v xml:space="preserve">   630710</v>
      </c>
      <c r="B1388" t="str">
        <f>T("   Serpillières ou wassingues, lavettes, chamoisettes et articles d'entretien simil. en tous types de matières textiles")</f>
        <v xml:space="preserve">   Serpillières ou wassingues, lavettes, chamoisettes et articles d'entretien simil. en tous types de matières textiles</v>
      </c>
      <c r="C1388">
        <v>7698753</v>
      </c>
      <c r="D1388">
        <v>7040</v>
      </c>
    </row>
    <row r="1389" spans="1:4" x14ac:dyDescent="0.25">
      <c r="A1389" t="str">
        <f>T("   640299")</f>
        <v xml:space="preserve">   640299</v>
      </c>
      <c r="B1389" t="s">
        <v>278</v>
      </c>
      <c r="C1389">
        <v>25330894</v>
      </c>
      <c r="D1389">
        <v>72495</v>
      </c>
    </row>
    <row r="1390" spans="1:4" x14ac:dyDescent="0.25">
      <c r="A1390" t="str">
        <f>T("   640590")</f>
        <v xml:space="preserve">   640590</v>
      </c>
      <c r="B1390" t="s">
        <v>283</v>
      </c>
      <c r="C1390">
        <v>2767384</v>
      </c>
      <c r="D1390">
        <v>4441</v>
      </c>
    </row>
    <row r="1391" spans="1:4" x14ac:dyDescent="0.25">
      <c r="A1391" t="str">
        <f>T("   680100")</f>
        <v xml:space="preserve">   680100</v>
      </c>
      <c r="B1391" t="str">
        <f>T("   Pavés, bordures de trottoirs et dalles de pavage, en pierres naturelles (autres que l'ardoise)")</f>
        <v xml:space="preserve">   Pavés, bordures de trottoirs et dalles de pavage, en pierres naturelles (autres que l'ardoise)</v>
      </c>
      <c r="C1391">
        <v>2111828</v>
      </c>
      <c r="D1391">
        <v>5850</v>
      </c>
    </row>
    <row r="1392" spans="1:4" x14ac:dyDescent="0.25">
      <c r="A1392" t="str">
        <f>T("   680610")</f>
        <v xml:space="preserve">   680610</v>
      </c>
      <c r="B1392" t="str">
        <f>T("   Laines de laitier, de scories, de roche et laines minérales simil., même mélangées entre elles, en masses, feuilles ou rouleaux")</f>
        <v xml:space="preserve">   Laines de laitier, de scories, de roche et laines minérales simil., même mélangées entre elles, en masses, feuilles ou rouleaux</v>
      </c>
      <c r="C1392">
        <v>352843</v>
      </c>
      <c r="D1392">
        <v>3260</v>
      </c>
    </row>
    <row r="1393" spans="1:4" x14ac:dyDescent="0.25">
      <c r="A1393" t="str">
        <f>T("   680710")</f>
        <v xml:space="preserve">   680710</v>
      </c>
      <c r="B1393" t="str">
        <f>T("   Ouvrages en asphalte ou en produits simil., p.ex. poix de pétrole, brais, en rouleaux")</f>
        <v xml:space="preserve">   Ouvrages en asphalte ou en produits simil., p.ex. poix de pétrole, brais, en rouleaux</v>
      </c>
      <c r="C1393">
        <v>5492080</v>
      </c>
      <c r="D1393">
        <v>15000</v>
      </c>
    </row>
    <row r="1394" spans="1:4" x14ac:dyDescent="0.25">
      <c r="A1394" t="str">
        <f>T("   690290")</f>
        <v xml:space="preserve">   690290</v>
      </c>
      <c r="B1394" t="s">
        <v>302</v>
      </c>
      <c r="C1394">
        <v>23252593</v>
      </c>
      <c r="D1394">
        <v>3265</v>
      </c>
    </row>
    <row r="1395" spans="1:4" x14ac:dyDescent="0.25">
      <c r="A1395" t="str">
        <f>T("   691110")</f>
        <v xml:space="preserve">   691110</v>
      </c>
      <c r="B1395" t="s">
        <v>311</v>
      </c>
      <c r="C1395">
        <v>679547</v>
      </c>
      <c r="D1395">
        <v>156</v>
      </c>
    </row>
    <row r="1396" spans="1:4" x14ac:dyDescent="0.25">
      <c r="A1396" t="str">
        <f>T("   701339")</f>
        <v xml:space="preserve">   701339</v>
      </c>
      <c r="B1396" t="s">
        <v>324</v>
      </c>
      <c r="C1396">
        <v>74734</v>
      </c>
      <c r="D1396">
        <v>17</v>
      </c>
    </row>
    <row r="1397" spans="1:4" x14ac:dyDescent="0.25">
      <c r="A1397" t="str">
        <f>T("   702000")</f>
        <v xml:space="preserve">   702000</v>
      </c>
      <c r="B1397" t="str">
        <f>T("   Ouvrages en verre n.d.a.")</f>
        <v xml:space="preserve">   Ouvrages en verre n.d.a.</v>
      </c>
      <c r="C1397">
        <v>6399101</v>
      </c>
      <c r="D1397">
        <v>194</v>
      </c>
    </row>
    <row r="1398" spans="1:4" x14ac:dyDescent="0.25">
      <c r="A1398" t="str">
        <f>T("   711790")</f>
        <v xml:space="preserve">   711790</v>
      </c>
      <c r="B1398" t="str">
        <f>T("   Bijouterie de fantaisie (autre qu'en métaux communs, même argentés, dorés ou platinés)")</f>
        <v xml:space="preserve">   Bijouterie de fantaisie (autre qu'en métaux communs, même argentés, dorés ou platinés)</v>
      </c>
      <c r="C1398">
        <v>671090</v>
      </c>
      <c r="D1398">
        <v>5</v>
      </c>
    </row>
    <row r="1399" spans="1:4" x14ac:dyDescent="0.25">
      <c r="A1399" t="str">
        <f>T("   721049")</f>
        <v xml:space="preserve">   721049</v>
      </c>
      <c r="B1399"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1399">
        <v>72913496</v>
      </c>
      <c r="D1399">
        <v>110736</v>
      </c>
    </row>
    <row r="1400" spans="1:4" x14ac:dyDescent="0.25">
      <c r="A1400" t="str">
        <f>T("   721420")</f>
        <v xml:space="preserve">   721420</v>
      </c>
      <c r="B1400"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400">
        <v>560408599</v>
      </c>
      <c r="D1400">
        <v>1414000</v>
      </c>
    </row>
    <row r="1401" spans="1:4" x14ac:dyDescent="0.25">
      <c r="A1401" t="str">
        <f>T("   721691")</f>
        <v xml:space="preserve">   721691</v>
      </c>
      <c r="B1401" t="str">
        <f>T("   PROFILÉS EN FER OU ACIERS NON-ALLIÉS, OBTENUS OU PARACHEVÉS À FROID À PARTIR DE PRODUITS LAMINÉS PLATS ET AYANT SUBI CERTAINES OUVRAISONS PLUS POUSSÉES")</f>
        <v xml:space="preserve">   PROFILÉS EN FER OU ACIERS NON-ALLIÉS, OBTENUS OU PARACHEVÉS À FROID À PARTIR DE PRODUITS LAMINÉS PLATS ET AYANT SUBI CERTAINES OUVRAISONS PLUS POUSSÉES</v>
      </c>
      <c r="C1401">
        <v>64858127</v>
      </c>
      <c r="D1401">
        <v>136880</v>
      </c>
    </row>
    <row r="1402" spans="1:4" x14ac:dyDescent="0.25">
      <c r="A1402" t="str">
        <f>T("   721710")</f>
        <v xml:space="preserve">   721710</v>
      </c>
      <c r="B1402" t="str">
        <f>T("   FILS EN FER OU EN ACIERS NON-ALLIÉS, ENROULÉS, NON-REVÊTUS, MÊME POLIS (À L'EXCL. DU FIL MACHINE)")</f>
        <v xml:space="preserve">   FILS EN FER OU EN ACIERS NON-ALLIÉS, ENROULÉS, NON-REVÊTUS, MÊME POLIS (À L'EXCL. DU FIL MACHINE)</v>
      </c>
      <c r="C1402">
        <v>56821482</v>
      </c>
      <c r="D1402">
        <v>136000</v>
      </c>
    </row>
    <row r="1403" spans="1:4" x14ac:dyDescent="0.25">
      <c r="A1403" t="str">
        <f>T("   722230")</f>
        <v xml:space="preserve">   722230</v>
      </c>
      <c r="B1403" t="str">
        <f>T("   BARRES, EN ACIERS INOXYDABLES, OBTENUES OU PARACHEVÉES À FROID ET AYANT SUBI CERTAINES OUVRAISONS PLUS POUSSÉES OU SIMPL. FORGÉES OU FORGÉES OU AUTREMENT OBTENUES À CHAUD ET AYANT SUBI CERTAINES OUVRAISONS PLUS POUSSÉES, N.D.A.")</f>
        <v xml:space="preserve">   BARRES, EN ACIERS INOXYDABLES, OBTENUES OU PARACHEVÉES À FROID ET AYANT SUBI CERTAINES OUVRAISONS PLUS POUSSÉES OU SIMPL. FORGÉES OU FORGÉES OU AUTREMENT OBTENUES À CHAUD ET AYANT SUBI CERTAINES OUVRAISONS PLUS POUSSÉES, N.D.A.</v>
      </c>
      <c r="C1403">
        <v>238000</v>
      </c>
      <c r="D1403">
        <v>2370</v>
      </c>
    </row>
    <row r="1404" spans="1:4" x14ac:dyDescent="0.25">
      <c r="A1404" t="str">
        <f>T("   730650")</f>
        <v xml:space="preserve">   730650</v>
      </c>
      <c r="B1404" t="s">
        <v>347</v>
      </c>
      <c r="C1404">
        <v>118830</v>
      </c>
      <c r="D1404">
        <v>350</v>
      </c>
    </row>
    <row r="1405" spans="1:4" x14ac:dyDescent="0.25">
      <c r="A1405" t="str">
        <f>T("   730660")</f>
        <v xml:space="preserve">   730660</v>
      </c>
      <c r="B1405" t="s">
        <v>348</v>
      </c>
      <c r="C1405">
        <v>142333750</v>
      </c>
      <c r="D1405">
        <v>274758</v>
      </c>
    </row>
    <row r="1406" spans="1:4" x14ac:dyDescent="0.25">
      <c r="A1406" t="str">
        <f>T("   730890")</f>
        <v xml:space="preserve">   730890</v>
      </c>
      <c r="B1406" t="s">
        <v>349</v>
      </c>
      <c r="C1406">
        <v>21083585</v>
      </c>
      <c r="D1406">
        <v>13308</v>
      </c>
    </row>
    <row r="1407" spans="1:4" x14ac:dyDescent="0.25">
      <c r="A1407" t="str">
        <f>T("   731010")</f>
        <v xml:space="preserve">   731010</v>
      </c>
      <c r="B1407"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1407">
        <v>20484354</v>
      </c>
      <c r="D1407">
        <v>4200</v>
      </c>
    </row>
    <row r="1408" spans="1:4" x14ac:dyDescent="0.25">
      <c r="A1408" t="str">
        <f>T("   731029")</f>
        <v xml:space="preserve">   731029</v>
      </c>
      <c r="B1408"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1408">
        <v>34897281</v>
      </c>
      <c r="D1408">
        <v>10317</v>
      </c>
    </row>
    <row r="1409" spans="1:4" x14ac:dyDescent="0.25">
      <c r="A1409" t="str">
        <f>T("   731210")</f>
        <v xml:space="preserve">   731210</v>
      </c>
      <c r="B1409"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1409">
        <v>663457</v>
      </c>
      <c r="D1409">
        <v>3</v>
      </c>
    </row>
    <row r="1410" spans="1:4" x14ac:dyDescent="0.25">
      <c r="A1410" t="str">
        <f>T("   731420")</f>
        <v xml:space="preserve">   731420</v>
      </c>
      <c r="B1410" t="str">
        <f>T("   Grillages et treillis, soudés aux points de rencontre, d'une surface de mailles &gt;= 100 cm², en fils de fer ou d'acier, dont la plus grande dimension de la coupe transversale est &gt;= 3 mm")</f>
        <v xml:space="preserve">   Grillages et treillis, soudés aux points de rencontre, d'une surface de mailles &gt;= 100 cm², en fils de fer ou d'acier, dont la plus grande dimension de la coupe transversale est &gt;= 3 mm</v>
      </c>
      <c r="C1410">
        <v>13333413</v>
      </c>
      <c r="D1410">
        <v>19250</v>
      </c>
    </row>
    <row r="1411" spans="1:4" x14ac:dyDescent="0.25">
      <c r="A1411" t="str">
        <f>T("   731700")</f>
        <v xml:space="preserve">   731700</v>
      </c>
      <c r="B1411"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1411">
        <v>160683093</v>
      </c>
      <c r="D1411">
        <v>310000</v>
      </c>
    </row>
    <row r="1412" spans="1:4" x14ac:dyDescent="0.25">
      <c r="A1412" t="str">
        <f>T("   731816")</f>
        <v xml:space="preserve">   731816</v>
      </c>
      <c r="B1412" t="str">
        <f>T("   ÉCROUS EN FONTE, FER OU ACIER")</f>
        <v xml:space="preserve">   ÉCROUS EN FONTE, FER OU ACIER</v>
      </c>
      <c r="C1412">
        <v>222698</v>
      </c>
      <c r="D1412">
        <v>15</v>
      </c>
    </row>
    <row r="1413" spans="1:4" x14ac:dyDescent="0.25">
      <c r="A1413" t="str">
        <f>T("   732394")</f>
        <v xml:space="preserve">   732394</v>
      </c>
      <c r="B1413" t="s">
        <v>362</v>
      </c>
      <c r="C1413">
        <v>700000</v>
      </c>
      <c r="D1413">
        <v>800</v>
      </c>
    </row>
    <row r="1414" spans="1:4" x14ac:dyDescent="0.25">
      <c r="A1414" t="str">
        <f>T("   732690")</f>
        <v xml:space="preserve">   732690</v>
      </c>
      <c r="B141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414">
        <v>8592707</v>
      </c>
      <c r="D1414">
        <v>7876</v>
      </c>
    </row>
    <row r="1415" spans="1:4" x14ac:dyDescent="0.25">
      <c r="A1415" t="str">
        <f>T("   761699")</f>
        <v xml:space="preserve">   761699</v>
      </c>
      <c r="B1415" t="str">
        <f>T("   Ouvrages en aluminium, n.d.a.")</f>
        <v xml:space="preserve">   Ouvrages en aluminium, n.d.a.</v>
      </c>
      <c r="C1415">
        <v>4105417</v>
      </c>
      <c r="D1415">
        <v>100</v>
      </c>
    </row>
    <row r="1416" spans="1:4" x14ac:dyDescent="0.25">
      <c r="A1416" t="str">
        <f>T("   820190")</f>
        <v xml:space="preserve">   820190</v>
      </c>
      <c r="B1416" t="s">
        <v>375</v>
      </c>
      <c r="C1416">
        <v>66836910</v>
      </c>
      <c r="D1416">
        <v>47988</v>
      </c>
    </row>
    <row r="1417" spans="1:4" x14ac:dyDescent="0.25">
      <c r="A1417" t="str">
        <f>T("   820559")</f>
        <v xml:space="preserve">   820559</v>
      </c>
      <c r="B1417" t="str">
        <f>T("   Outils à main, y.c. -les diamants de vitrier-, en métaux communs, n.d.a.")</f>
        <v xml:space="preserve">   Outils à main, y.c. -les diamants de vitrier-, en métaux communs, n.d.a.</v>
      </c>
      <c r="C1417">
        <v>9905430</v>
      </c>
      <c r="D1417">
        <v>6054</v>
      </c>
    </row>
    <row r="1418" spans="1:4" x14ac:dyDescent="0.25">
      <c r="A1418" t="str">
        <f>T("   820790")</f>
        <v xml:space="preserve">   820790</v>
      </c>
      <c r="B1418" t="str">
        <f>T("   Outils interchangeables pour outillage à main, mécanique ou non, ou pour machines-outils, n.d.a.")</f>
        <v xml:space="preserve">   Outils interchangeables pour outillage à main, mécanique ou non, ou pour machines-outils, n.d.a.</v>
      </c>
      <c r="C1418">
        <v>1400000</v>
      </c>
      <c r="D1418">
        <v>30</v>
      </c>
    </row>
    <row r="1419" spans="1:4" x14ac:dyDescent="0.25">
      <c r="A1419" t="str">
        <f>T("   830910")</f>
        <v xml:space="preserve">   830910</v>
      </c>
      <c r="B1419" t="str">
        <f>T("   Bouchons-couronnes en métaux communs")</f>
        <v xml:space="preserve">   Bouchons-couronnes en métaux communs</v>
      </c>
      <c r="C1419">
        <v>70355149</v>
      </c>
      <c r="D1419">
        <v>36190</v>
      </c>
    </row>
    <row r="1420" spans="1:4" x14ac:dyDescent="0.25">
      <c r="A1420" t="str">
        <f>T("   830990")</f>
        <v xml:space="preserve">   830990</v>
      </c>
      <c r="B1420"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1420">
        <v>1862982</v>
      </c>
      <c r="D1420">
        <v>1270</v>
      </c>
    </row>
    <row r="1421" spans="1:4" x14ac:dyDescent="0.25">
      <c r="A1421" t="str">
        <f>T("   831110")</f>
        <v xml:space="preserve">   831110</v>
      </c>
      <c r="B1421" t="str">
        <f>T("   ÉLECTRODES ENROBÉES EN MÉTAUX COMMUNS, POUR LE SOUDAGE À L'ARC")</f>
        <v xml:space="preserve">   ÉLECTRODES ENROBÉES EN MÉTAUX COMMUNS, POUR LE SOUDAGE À L'ARC</v>
      </c>
      <c r="C1421">
        <v>18114689</v>
      </c>
      <c r="D1421">
        <v>19934</v>
      </c>
    </row>
    <row r="1422" spans="1:4" x14ac:dyDescent="0.25">
      <c r="A1422" t="str">
        <f>T("   840290")</f>
        <v xml:space="preserve">   840290</v>
      </c>
      <c r="B1422" t="str">
        <f>T("   Parties de chaudières à vapeur et de chaudières dites -à eau surchauffée-, n.d.a.")</f>
        <v xml:space="preserve">   Parties de chaudières à vapeur et de chaudières dites -à eau surchauffée-, n.d.a.</v>
      </c>
      <c r="C1422">
        <v>58165835</v>
      </c>
      <c r="D1422">
        <v>4745</v>
      </c>
    </row>
    <row r="1423" spans="1:4" x14ac:dyDescent="0.25">
      <c r="A1423" t="str">
        <f>T("   841311")</f>
        <v xml:space="preserve">   841311</v>
      </c>
      <c r="B1423"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1423">
        <v>26659468</v>
      </c>
      <c r="D1423">
        <v>1160</v>
      </c>
    </row>
    <row r="1424" spans="1:4" x14ac:dyDescent="0.25">
      <c r="A1424" t="str">
        <f>T("   841381")</f>
        <v xml:space="preserve">   841381</v>
      </c>
      <c r="B1424" t="s">
        <v>398</v>
      </c>
      <c r="C1424">
        <v>781948</v>
      </c>
      <c r="D1424">
        <v>1163</v>
      </c>
    </row>
    <row r="1425" spans="1:4" x14ac:dyDescent="0.25">
      <c r="A1425" t="str">
        <f>T("   841391")</f>
        <v xml:space="preserve">   841391</v>
      </c>
      <c r="B1425" t="str">
        <f>T("   Parties de pompes pour liquides, n.d.a.")</f>
        <v xml:space="preserve">   Parties de pompes pour liquides, n.d.a.</v>
      </c>
      <c r="C1425">
        <v>1045706</v>
      </c>
      <c r="D1425">
        <v>200</v>
      </c>
    </row>
    <row r="1426" spans="1:4" x14ac:dyDescent="0.25">
      <c r="A1426" t="str">
        <f>T("   841822")</f>
        <v xml:space="preserve">   841822</v>
      </c>
      <c r="B1426" t="str">
        <f>T("   Réfrigérateurs ménagers à absorption, électriques")</f>
        <v xml:space="preserve">   Réfrigérateurs ménagers à absorption, électriques</v>
      </c>
      <c r="C1426">
        <v>1000000</v>
      </c>
      <c r="D1426">
        <v>2140</v>
      </c>
    </row>
    <row r="1427" spans="1:4" x14ac:dyDescent="0.25">
      <c r="A1427" t="str">
        <f>T("   841829")</f>
        <v xml:space="preserve">   841829</v>
      </c>
      <c r="B1427" t="str">
        <f>T("   Réfrigérateurs ménagers à absorption, non-électriques")</f>
        <v xml:space="preserve">   Réfrigérateurs ménagers à absorption, non-électriques</v>
      </c>
      <c r="C1427">
        <v>1555000</v>
      </c>
      <c r="D1427">
        <v>880</v>
      </c>
    </row>
    <row r="1428" spans="1:4" x14ac:dyDescent="0.25">
      <c r="A1428" t="str">
        <f>T("   842240")</f>
        <v xml:space="preserve">   842240</v>
      </c>
      <c r="B1428" t="s">
        <v>406</v>
      </c>
      <c r="C1428">
        <v>10418354</v>
      </c>
      <c r="D1428">
        <v>1600</v>
      </c>
    </row>
    <row r="1429" spans="1:4" x14ac:dyDescent="0.25">
      <c r="A1429" t="str">
        <f>T("   842389")</f>
        <v xml:space="preserve">   842389</v>
      </c>
      <c r="B1429" t="str">
        <f>T("   Appareils et instruments de pesage, portée &gt; 5000 kg")</f>
        <v xml:space="preserve">   Appareils et instruments de pesage, portée &gt; 5000 kg</v>
      </c>
      <c r="C1429">
        <v>53747583</v>
      </c>
      <c r="D1429">
        <v>1582</v>
      </c>
    </row>
    <row r="1430" spans="1:4" x14ac:dyDescent="0.25">
      <c r="A1430" t="str">
        <f>T("   842410")</f>
        <v xml:space="preserve">   842410</v>
      </c>
      <c r="B1430" t="str">
        <f>T("   Extincteurs mécaniques, même chargés (sauf bombes et grenades d'extinction d'incendie)")</f>
        <v xml:space="preserve">   Extincteurs mécaniques, même chargés (sauf bombes et grenades d'extinction d'incendie)</v>
      </c>
      <c r="C1430">
        <v>955372</v>
      </c>
      <c r="D1430">
        <v>219</v>
      </c>
    </row>
    <row r="1431" spans="1:4" x14ac:dyDescent="0.25">
      <c r="A1431" t="str">
        <f>T("   842519")</f>
        <v xml:space="preserve">   842519</v>
      </c>
      <c r="B1431" t="str">
        <f>T("   Palans autres qu'à moteur électrique")</f>
        <v xml:space="preserve">   Palans autres qu'à moteur électrique</v>
      </c>
      <c r="C1431">
        <v>237661</v>
      </c>
      <c r="D1431">
        <v>600</v>
      </c>
    </row>
    <row r="1432" spans="1:4" x14ac:dyDescent="0.25">
      <c r="A1432" t="str">
        <f>T("   844319")</f>
        <v xml:space="preserve">   844319</v>
      </c>
      <c r="B1432" t="s">
        <v>420</v>
      </c>
      <c r="C1432">
        <v>19049970</v>
      </c>
      <c r="D1432">
        <v>218</v>
      </c>
    </row>
    <row r="1433" spans="1:4" x14ac:dyDescent="0.25">
      <c r="A1433" t="str">
        <f>T("   846410")</f>
        <v xml:space="preserve">   846410</v>
      </c>
      <c r="B1433" t="str">
        <f>T("   Machines à scier pour le travail de la pierre, des produits céramiques, du béton, de l'amiante-ciment ou de matières minérales simil., ou pour le travail à froid du verre (à l'excl. des machines pour emploi à la main)")</f>
        <v xml:space="preserve">   Machines à scier pour le travail de la pierre, des produits céramiques, du béton, de l'amiante-ciment ou de matières minérales simil., ou pour le travail à froid du verre (à l'excl. des machines pour emploi à la main)</v>
      </c>
      <c r="C1433">
        <v>500000</v>
      </c>
      <c r="D1433">
        <v>350</v>
      </c>
    </row>
    <row r="1434" spans="1:4" x14ac:dyDescent="0.25">
      <c r="A1434" t="str">
        <f>T("   846781")</f>
        <v xml:space="preserve">   846781</v>
      </c>
      <c r="B1434" t="str">
        <f>T("   Tronçonneuses à chaîne pour emploi à la main, à moteur non électrique incorporé")</f>
        <v xml:space="preserve">   Tronçonneuses à chaîne pour emploi à la main, à moteur non électrique incorporé</v>
      </c>
      <c r="C1434">
        <v>571762</v>
      </c>
      <c r="D1434">
        <v>217</v>
      </c>
    </row>
    <row r="1435" spans="1:4" x14ac:dyDescent="0.25">
      <c r="A1435" t="str">
        <f>T("   847141")</f>
        <v xml:space="preserve">   847141</v>
      </c>
      <c r="B1435" t="s">
        <v>434</v>
      </c>
      <c r="C1435">
        <v>32914134</v>
      </c>
      <c r="D1435">
        <v>4504</v>
      </c>
    </row>
    <row r="1436" spans="1:4" x14ac:dyDescent="0.25">
      <c r="A1436" t="str">
        <f>T("   847150")</f>
        <v xml:space="preserve">   847150</v>
      </c>
      <c r="B1436" t="s">
        <v>436</v>
      </c>
      <c r="C1436">
        <v>18660435</v>
      </c>
      <c r="D1436">
        <v>564</v>
      </c>
    </row>
    <row r="1437" spans="1:4" x14ac:dyDescent="0.25">
      <c r="A1437" t="str">
        <f>T("   847190")</f>
        <v xml:space="preserve">   847190</v>
      </c>
      <c r="B143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437">
        <v>4785564</v>
      </c>
      <c r="D1437">
        <v>590</v>
      </c>
    </row>
    <row r="1438" spans="1:4" x14ac:dyDescent="0.25">
      <c r="A1438" t="str">
        <f>T("   847330")</f>
        <v xml:space="preserve">   847330</v>
      </c>
      <c r="B1438" t="str">
        <f>T("   Parties et accessoires pour machines automatiques de traitement de l'information ou pour autres machines du n° 8471, n.d.a.")</f>
        <v xml:space="preserve">   Parties et accessoires pour machines automatiques de traitement de l'information ou pour autres machines du n° 8471, n.d.a.</v>
      </c>
      <c r="C1438">
        <v>12191971</v>
      </c>
      <c r="D1438">
        <v>115</v>
      </c>
    </row>
    <row r="1439" spans="1:4" x14ac:dyDescent="0.25">
      <c r="A1439" t="str">
        <f>T("   847420")</f>
        <v xml:space="preserve">   847420</v>
      </c>
      <c r="B1439" t="str">
        <f>T("   Machines et appareils à concasser, broyer ou pulvériser les matières minérales solides")</f>
        <v xml:space="preserve">   Machines et appareils à concasser, broyer ou pulvériser les matières minérales solides</v>
      </c>
      <c r="C1439">
        <v>1053246</v>
      </c>
      <c r="D1439">
        <v>399</v>
      </c>
    </row>
    <row r="1440" spans="1:4" x14ac:dyDescent="0.25">
      <c r="A1440" t="str">
        <f>T("   847989")</f>
        <v xml:space="preserve">   847989</v>
      </c>
      <c r="B1440" t="str">
        <f>T("   Machines et appareils, y.c. les appareils mécaniques, n.d.a.")</f>
        <v xml:space="preserve">   Machines et appareils, y.c. les appareils mécaniques, n.d.a.</v>
      </c>
      <c r="C1440">
        <v>5774711</v>
      </c>
      <c r="D1440">
        <v>175</v>
      </c>
    </row>
    <row r="1441" spans="1:4" x14ac:dyDescent="0.25">
      <c r="A1441" t="str">
        <f>T("   848071")</f>
        <v xml:space="preserve">   848071</v>
      </c>
      <c r="B1441" t="str">
        <f>T("   Moules pour le caoutchouc ou les matières plastiques, pour le moulage par injection ou par compression")</f>
        <v xml:space="preserve">   Moules pour le caoutchouc ou les matières plastiques, pour le moulage par injection ou par compression</v>
      </c>
      <c r="C1441">
        <v>300000</v>
      </c>
      <c r="D1441">
        <v>20</v>
      </c>
    </row>
    <row r="1442" spans="1:4" x14ac:dyDescent="0.25">
      <c r="A1442" t="str">
        <f>T("   848180")</f>
        <v xml:space="preserve">   848180</v>
      </c>
      <c r="B1442"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442">
        <v>28873287</v>
      </c>
      <c r="D1442">
        <v>535</v>
      </c>
    </row>
    <row r="1443" spans="1:4" x14ac:dyDescent="0.25">
      <c r="A1443" t="str">
        <f>T("   850211")</f>
        <v xml:space="preserve">   850211</v>
      </c>
      <c r="B1443" t="s">
        <v>444</v>
      </c>
      <c r="C1443">
        <v>16557595</v>
      </c>
      <c r="D1443">
        <v>5930</v>
      </c>
    </row>
    <row r="1444" spans="1:4" x14ac:dyDescent="0.25">
      <c r="A1444" t="str">
        <f>T("   850212")</f>
        <v xml:space="preserve">   850212</v>
      </c>
      <c r="B1444"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1444">
        <v>2067198</v>
      </c>
      <c r="D1444">
        <v>3600</v>
      </c>
    </row>
    <row r="1445" spans="1:4" x14ac:dyDescent="0.25">
      <c r="A1445" t="str">
        <f>T("   850431")</f>
        <v xml:space="preserve">   850431</v>
      </c>
      <c r="B1445" t="str">
        <f>T("   Transformateurs à sec, puissance &lt;= 1 kVA")</f>
        <v xml:space="preserve">   Transformateurs à sec, puissance &lt;= 1 kVA</v>
      </c>
      <c r="C1445">
        <v>1492000</v>
      </c>
      <c r="D1445">
        <v>82</v>
      </c>
    </row>
    <row r="1446" spans="1:4" x14ac:dyDescent="0.25">
      <c r="A1446" t="str">
        <f>T("   851531")</f>
        <v xml:space="preserve">   851531</v>
      </c>
      <c r="B1446" t="str">
        <f>T("   Machines et appareils pour le soudage des métaux à l'arc ou au jet de plasma, entièrement ou partiellement automatiques")</f>
        <v xml:space="preserve">   Machines et appareils pour le soudage des métaux à l'arc ou au jet de plasma, entièrement ou partiellement automatiques</v>
      </c>
      <c r="C1446">
        <v>1500000</v>
      </c>
      <c r="D1446">
        <v>150</v>
      </c>
    </row>
    <row r="1447" spans="1:4" x14ac:dyDescent="0.25">
      <c r="A1447" t="str">
        <f>T("   851539")</f>
        <v xml:space="preserve">   851539</v>
      </c>
      <c r="B1447" t="str">
        <f>T("   MACHINES ET APPAREILS POUR LE SOUDAGE DES MÉTAUX À L'ARC OU AU JET DE PLASMA, NON-AUTOMATIQUES")</f>
        <v xml:space="preserve">   MACHINES ET APPAREILS POUR LE SOUDAGE DES MÉTAUX À L'ARC OU AU JET DE PLASMA, NON-AUTOMATIQUES</v>
      </c>
      <c r="C1447">
        <v>3461865</v>
      </c>
      <c r="D1447">
        <v>420</v>
      </c>
    </row>
    <row r="1448" spans="1:4" x14ac:dyDescent="0.25">
      <c r="A1448" t="str">
        <f>T("   851679")</f>
        <v xml:space="preserve">   851679</v>
      </c>
      <c r="B1448" t="s">
        <v>451</v>
      </c>
      <c r="C1448">
        <v>14175296</v>
      </c>
      <c r="D1448">
        <v>26000</v>
      </c>
    </row>
    <row r="1449" spans="1:4" x14ac:dyDescent="0.25">
      <c r="A1449" t="str">
        <f>T("   851780")</f>
        <v xml:space="preserve">   851780</v>
      </c>
      <c r="B1449" t="s">
        <v>453</v>
      </c>
      <c r="C1449">
        <v>41917923</v>
      </c>
      <c r="D1449">
        <v>649</v>
      </c>
    </row>
    <row r="1450" spans="1:4" x14ac:dyDescent="0.25">
      <c r="A1450" t="str">
        <f>T("   852090")</f>
        <v xml:space="preserve">   852090</v>
      </c>
      <c r="B1450"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1450">
        <v>85410</v>
      </c>
      <c r="D1450">
        <v>19</v>
      </c>
    </row>
    <row r="1451" spans="1:4" x14ac:dyDescent="0.25">
      <c r="A1451" t="str">
        <f>T("   852190")</f>
        <v xml:space="preserve">   852190</v>
      </c>
      <c r="B1451" t="s">
        <v>457</v>
      </c>
      <c r="C1451">
        <v>26691</v>
      </c>
      <c r="D1451">
        <v>6</v>
      </c>
    </row>
    <row r="1452" spans="1:4" x14ac:dyDescent="0.25">
      <c r="A1452" t="str">
        <f>T("   852431")</f>
        <v xml:space="preserve">   852431</v>
      </c>
      <c r="B1452" t="str">
        <f>T("   Disques enregistrés pour systèmes de lecture optique par faisceau laser, pour la reproduction des phénomènes autres que le son ou l'image")</f>
        <v xml:space="preserve">   Disques enregistrés pour systèmes de lecture optique par faisceau laser, pour la reproduction des phénomènes autres que le son ou l'image</v>
      </c>
      <c r="C1452">
        <v>11185090</v>
      </c>
      <c r="D1452">
        <v>338</v>
      </c>
    </row>
    <row r="1453" spans="1:4" x14ac:dyDescent="0.25">
      <c r="A1453" t="str">
        <f>T("   852460")</f>
        <v xml:space="preserve">   852460</v>
      </c>
      <c r="B1453" t="str">
        <f>T("   Cartes munies d'une piste magnétique enregistrée")</f>
        <v xml:space="preserve">   Cartes munies d'une piste magnétique enregistrée</v>
      </c>
      <c r="C1453">
        <v>3554923</v>
      </c>
      <c r="D1453">
        <v>12.4</v>
      </c>
    </row>
    <row r="1454" spans="1:4" x14ac:dyDescent="0.25">
      <c r="A1454" t="str">
        <f>T("   853180")</f>
        <v xml:space="preserve">   853180</v>
      </c>
      <c r="B1454" t="s">
        <v>465</v>
      </c>
      <c r="C1454">
        <v>12027900</v>
      </c>
      <c r="D1454">
        <v>940</v>
      </c>
    </row>
    <row r="1455" spans="1:4" x14ac:dyDescent="0.25">
      <c r="A1455" t="str">
        <f>T("   853590")</f>
        <v xml:space="preserve">   853590</v>
      </c>
      <c r="B1455" t="s">
        <v>466</v>
      </c>
      <c r="C1455">
        <v>14282760</v>
      </c>
      <c r="D1455">
        <v>752</v>
      </c>
    </row>
    <row r="1456" spans="1:4" x14ac:dyDescent="0.25">
      <c r="A1456" t="str">
        <f>T("   853669")</f>
        <v xml:space="preserve">   853669</v>
      </c>
      <c r="B1456" t="str">
        <f>T("   Fiches et prises de courant, pour une tension &lt;= 1.000 V (sauf douilles pour lampes)")</f>
        <v xml:space="preserve">   Fiches et prises de courant, pour une tension &lt;= 1.000 V (sauf douilles pour lampes)</v>
      </c>
      <c r="C1456">
        <v>23802584</v>
      </c>
      <c r="D1456">
        <v>805</v>
      </c>
    </row>
    <row r="1457" spans="1:4" x14ac:dyDescent="0.25">
      <c r="A1457" t="str">
        <f>T("   853710")</f>
        <v xml:space="preserve">   853710</v>
      </c>
      <c r="B1457"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457">
        <v>3569179</v>
      </c>
      <c r="D1457">
        <v>8460</v>
      </c>
    </row>
    <row r="1458" spans="1:4" x14ac:dyDescent="0.25">
      <c r="A1458" t="str">
        <f>T("   853910")</f>
        <v xml:space="preserve">   853910</v>
      </c>
      <c r="B1458" t="str">
        <f>T("   Phares et projecteurs scellés")</f>
        <v xml:space="preserve">   Phares et projecteurs scellés</v>
      </c>
      <c r="C1458">
        <v>170777</v>
      </c>
      <c r="D1458">
        <v>8</v>
      </c>
    </row>
    <row r="1459" spans="1:4" x14ac:dyDescent="0.25">
      <c r="A1459" t="str">
        <f>T("   853939")</f>
        <v xml:space="preserve">   853939</v>
      </c>
      <c r="B1459"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1459">
        <v>66642</v>
      </c>
      <c r="D1459">
        <v>2</v>
      </c>
    </row>
    <row r="1460" spans="1:4" x14ac:dyDescent="0.25">
      <c r="A1460" t="str">
        <f>T("   854381")</f>
        <v xml:space="preserve">   854381</v>
      </c>
      <c r="B1460" t="str">
        <f>T("   Cartes et étiquettes à déclenchement par effet de proximité, constituées par un circuit intégré à mémoire morte relié à une antenne imprimée")</f>
        <v xml:space="preserve">   Cartes et étiquettes à déclenchement par effet de proximité, constituées par un circuit intégré à mémoire morte relié à une antenne imprimée</v>
      </c>
      <c r="C1460">
        <v>535946</v>
      </c>
      <c r="D1460">
        <v>16</v>
      </c>
    </row>
    <row r="1461" spans="1:4" x14ac:dyDescent="0.25">
      <c r="A1461" t="str">
        <f>T("   854420")</f>
        <v xml:space="preserve">   854420</v>
      </c>
      <c r="B1461" t="str">
        <f>T("   Câbles coaxiaux et autres conducteurs électriques coaxiaux, isolés")</f>
        <v xml:space="preserve">   Câbles coaxiaux et autres conducteurs électriques coaxiaux, isolés</v>
      </c>
      <c r="C1461">
        <v>1704090</v>
      </c>
      <c r="D1461">
        <v>125</v>
      </c>
    </row>
    <row r="1462" spans="1:4" x14ac:dyDescent="0.25">
      <c r="A1462" t="str">
        <f>T("   854449")</f>
        <v xml:space="preserve">   854449</v>
      </c>
      <c r="B1462" t="str">
        <f>T("   CONDUCTEURS ÉLECTRIQUES, POUR TENSION &lt;= 1.000 V, ISOLÉS, SANS PIÈCES DE CONNEXION, N.D.A.")</f>
        <v xml:space="preserve">   CONDUCTEURS ÉLECTRIQUES, POUR TENSION &lt;= 1.000 V, ISOLÉS, SANS PIÈCES DE CONNEXION, N.D.A.</v>
      </c>
      <c r="C1462">
        <v>47334405</v>
      </c>
      <c r="D1462">
        <v>14358</v>
      </c>
    </row>
    <row r="1463" spans="1:4" x14ac:dyDescent="0.25">
      <c r="A1463" t="str">
        <f>T("   854459")</f>
        <v xml:space="preserve">   854459</v>
      </c>
      <c r="B1463" t="str">
        <f>T("   Conducteurs électriques, pour tension &gt; 80 V mais &lt;= 1.000 V, sans pièces de connexion, n.d.a.")</f>
        <v xml:space="preserve">   Conducteurs électriques, pour tension &gt; 80 V mais &lt;= 1.000 V, sans pièces de connexion, n.d.a.</v>
      </c>
      <c r="C1463">
        <v>110652817</v>
      </c>
      <c r="D1463">
        <v>43305</v>
      </c>
    </row>
    <row r="1464" spans="1:4" x14ac:dyDescent="0.25">
      <c r="A1464" t="str">
        <f>T("   854470")</f>
        <v xml:space="preserve">   854470</v>
      </c>
      <c r="B1464"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1464">
        <v>205495</v>
      </c>
      <c r="D1464">
        <v>6</v>
      </c>
    </row>
    <row r="1465" spans="1:4" x14ac:dyDescent="0.25">
      <c r="A1465" t="str">
        <f>T("   870322")</f>
        <v xml:space="preserve">   870322</v>
      </c>
      <c r="B1465" t="s">
        <v>472</v>
      </c>
      <c r="C1465">
        <v>4878658</v>
      </c>
      <c r="D1465">
        <v>4800</v>
      </c>
    </row>
    <row r="1466" spans="1:4" x14ac:dyDescent="0.25">
      <c r="A1466" t="str">
        <f>T("   870323")</f>
        <v xml:space="preserve">   870323</v>
      </c>
      <c r="B1466" t="s">
        <v>473</v>
      </c>
      <c r="C1466">
        <v>23267482</v>
      </c>
      <c r="D1466">
        <v>9792</v>
      </c>
    </row>
    <row r="1467" spans="1:4" x14ac:dyDescent="0.25">
      <c r="A1467" t="str">
        <f>T("   870324")</f>
        <v xml:space="preserve">   870324</v>
      </c>
      <c r="B1467" t="s">
        <v>474</v>
      </c>
      <c r="C1467">
        <v>15099525</v>
      </c>
      <c r="D1467">
        <v>2328</v>
      </c>
    </row>
    <row r="1468" spans="1:4" x14ac:dyDescent="0.25">
      <c r="A1468" t="str">
        <f>T("   870421")</f>
        <v xml:space="preserve">   870421</v>
      </c>
      <c r="B1468" t="s">
        <v>478</v>
      </c>
      <c r="C1468">
        <v>1200000</v>
      </c>
      <c r="D1468">
        <v>1500</v>
      </c>
    </row>
    <row r="1469" spans="1:4" x14ac:dyDescent="0.25">
      <c r="A1469" t="str">
        <f>T("   870422")</f>
        <v xml:space="preserve">   870422</v>
      </c>
      <c r="B1469" t="s">
        <v>479</v>
      </c>
      <c r="C1469">
        <v>2000000</v>
      </c>
      <c r="D1469">
        <v>8000</v>
      </c>
    </row>
    <row r="1470" spans="1:4" x14ac:dyDescent="0.25">
      <c r="A1470" t="str">
        <f>T("   871680")</f>
        <v xml:space="preserve">   871680</v>
      </c>
      <c r="B1470" t="str">
        <f>T("   Véhicules dirigés à la main et autres véhicules non automobiles, autres que remorques et semi-remorques")</f>
        <v xml:space="preserve">   Véhicules dirigés à la main et autres véhicules non automobiles, autres que remorques et semi-remorques</v>
      </c>
      <c r="C1470">
        <v>18209467</v>
      </c>
      <c r="D1470">
        <v>23232</v>
      </c>
    </row>
    <row r="1471" spans="1:4" x14ac:dyDescent="0.25">
      <c r="A1471" t="str">
        <f>T("   900719")</f>
        <v xml:space="preserve">   900719</v>
      </c>
      <c r="B1471" t="str">
        <f>T("   Caméras cinématographiques, pour films d'une largeur &gt;= 16 mm (à l'excl. des films double-8 mm)")</f>
        <v xml:space="preserve">   Caméras cinématographiques, pour films d'une largeur &gt;= 16 mm (à l'excl. des films double-8 mm)</v>
      </c>
      <c r="C1471">
        <v>32737110</v>
      </c>
      <c r="D1471">
        <v>990</v>
      </c>
    </row>
    <row r="1472" spans="1:4" x14ac:dyDescent="0.25">
      <c r="A1472" t="str">
        <f>T("   900922")</f>
        <v xml:space="preserve">   900922</v>
      </c>
      <c r="B1472" t="str">
        <f>T("   APPAREILS DE PHOTOCOPIE PAR CONTACT")</f>
        <v xml:space="preserve">   APPAREILS DE PHOTOCOPIE PAR CONTACT</v>
      </c>
      <c r="C1472">
        <v>3998294</v>
      </c>
      <c r="D1472">
        <v>121</v>
      </c>
    </row>
    <row r="1473" spans="1:4" x14ac:dyDescent="0.25">
      <c r="A1473" t="str">
        <f>T("   940179")</f>
        <v xml:space="preserve">   940179</v>
      </c>
      <c r="B1473"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1473">
        <v>500000</v>
      </c>
      <c r="D1473">
        <v>2210</v>
      </c>
    </row>
    <row r="1474" spans="1:4" x14ac:dyDescent="0.25">
      <c r="A1474" t="str">
        <f>T("   940330")</f>
        <v xml:space="preserve">   940330</v>
      </c>
      <c r="B1474" t="str">
        <f>T("   Meubles de bureau en bois (sauf sièges)")</f>
        <v xml:space="preserve">   Meubles de bureau en bois (sauf sièges)</v>
      </c>
      <c r="C1474">
        <v>2500000</v>
      </c>
      <c r="D1474">
        <v>2200</v>
      </c>
    </row>
    <row r="1475" spans="1:4" x14ac:dyDescent="0.25">
      <c r="A1475" t="str">
        <f>T("   940350")</f>
        <v xml:space="preserve">   940350</v>
      </c>
      <c r="B1475" t="str">
        <f>T("   Meubles pour chambres à coucher, en bois (sauf sièges)")</f>
        <v xml:space="preserve">   Meubles pour chambres à coucher, en bois (sauf sièges)</v>
      </c>
      <c r="C1475">
        <v>9700000</v>
      </c>
      <c r="D1475">
        <v>71040</v>
      </c>
    </row>
    <row r="1476" spans="1:4" x14ac:dyDescent="0.25">
      <c r="A1476" t="str">
        <f>T("   940360")</f>
        <v xml:space="preserve">   940360</v>
      </c>
      <c r="B1476" t="str">
        <f>T("   Meubles en bois (autres que pour bureaux, cuisines ou chambres à coucher et autres que sièges)")</f>
        <v xml:space="preserve">   Meubles en bois (autres que pour bureaux, cuisines ou chambres à coucher et autres que sièges)</v>
      </c>
      <c r="C1476">
        <v>17700000</v>
      </c>
      <c r="D1476">
        <v>52210</v>
      </c>
    </row>
    <row r="1477" spans="1:4" x14ac:dyDescent="0.25">
      <c r="A1477" t="str">
        <f>T("   940600")</f>
        <v xml:space="preserve">   940600</v>
      </c>
      <c r="B1477" t="str">
        <f>T("   Constructions préfabriquées, même incomplètes ou non encore montées")</f>
        <v xml:space="preserve">   Constructions préfabriquées, même incomplètes ou non encore montées</v>
      </c>
      <c r="C1477">
        <v>355064</v>
      </c>
      <c r="D1477">
        <v>320</v>
      </c>
    </row>
    <row r="1478" spans="1:4" x14ac:dyDescent="0.25">
      <c r="A1478" t="str">
        <f>T("   960622")</f>
        <v xml:space="preserve">   960622</v>
      </c>
      <c r="B1478" t="str">
        <f>T("   Boutons en métaux communs (non recouverts de matières textiles) (sauf boutons-pressions et boutons de manchette)")</f>
        <v xml:space="preserve">   Boutons en métaux communs (non recouverts de matières textiles) (sauf boutons-pressions et boutons de manchette)</v>
      </c>
      <c r="C1478">
        <v>478911</v>
      </c>
      <c r="D1478">
        <v>89</v>
      </c>
    </row>
    <row r="1479" spans="1:4" x14ac:dyDescent="0.25">
      <c r="A1479" t="str">
        <f>T("   960899")</f>
        <v xml:space="preserve">   960899</v>
      </c>
      <c r="B1479"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1479">
        <v>550000</v>
      </c>
      <c r="D1479">
        <v>65</v>
      </c>
    </row>
    <row r="1480" spans="1:4" x14ac:dyDescent="0.25">
      <c r="A1480" t="str">
        <f>T("CL")</f>
        <v>CL</v>
      </c>
      <c r="B1480" t="str">
        <f>T("Chili")</f>
        <v>Chili</v>
      </c>
    </row>
    <row r="1481" spans="1:4" x14ac:dyDescent="0.25">
      <c r="A1481" t="str">
        <f>T("   ZZ_Total_Produit_SH6")</f>
        <v xml:space="preserve">   ZZ_Total_Produit_SH6</v>
      </c>
      <c r="B1481" t="str">
        <f>T("   ZZ_Total_Produit_SH6")</f>
        <v xml:space="preserve">   ZZ_Total_Produit_SH6</v>
      </c>
      <c r="C1481">
        <v>86143041</v>
      </c>
      <c r="D1481">
        <v>206612</v>
      </c>
    </row>
    <row r="1482" spans="1:4" x14ac:dyDescent="0.25">
      <c r="A1482" t="str">
        <f>T("   020727")</f>
        <v xml:space="preserve">   020727</v>
      </c>
      <c r="B1482" t="str">
        <f>T("   Morceaux et abats comestibles de dindes et dindons [des espèces domestiques], congelés")</f>
        <v xml:space="preserve">   Morceaux et abats comestibles de dindes et dindons [des espèces domestiques], congelés</v>
      </c>
      <c r="C1482">
        <v>30000081</v>
      </c>
      <c r="D1482">
        <v>48020</v>
      </c>
    </row>
    <row r="1483" spans="1:4" x14ac:dyDescent="0.25">
      <c r="A1483" t="str">
        <f>T("   080610")</f>
        <v xml:space="preserve">   080610</v>
      </c>
      <c r="B1483" t="str">
        <f>T("   Raisins, frais")</f>
        <v xml:space="preserve">   Raisins, frais</v>
      </c>
      <c r="C1483">
        <v>56142960</v>
      </c>
      <c r="D1483">
        <v>158592</v>
      </c>
    </row>
    <row r="1484" spans="1:4" x14ac:dyDescent="0.25">
      <c r="A1484" t="str">
        <f>T("CM")</f>
        <v>CM</v>
      </c>
      <c r="B1484" t="str">
        <f>T("Cameroun")</f>
        <v>Cameroun</v>
      </c>
    </row>
    <row r="1485" spans="1:4" x14ac:dyDescent="0.25">
      <c r="A1485" t="str">
        <f>T("   ZZ_Total_Produit_SH6")</f>
        <v xml:space="preserve">   ZZ_Total_Produit_SH6</v>
      </c>
      <c r="B1485" t="str">
        <f>T("   ZZ_Total_Produit_SH6")</f>
        <v xml:space="preserve">   ZZ_Total_Produit_SH6</v>
      </c>
      <c r="C1485">
        <v>852572965</v>
      </c>
      <c r="D1485">
        <v>3393213</v>
      </c>
    </row>
    <row r="1486" spans="1:4" x14ac:dyDescent="0.25">
      <c r="A1486" t="str">
        <f>T("   030379")</f>
        <v xml:space="preserve">   030379</v>
      </c>
      <c r="B1486" t="s">
        <v>17</v>
      </c>
      <c r="C1486">
        <v>96944538</v>
      </c>
      <c r="D1486">
        <v>430889</v>
      </c>
    </row>
    <row r="1487" spans="1:4" x14ac:dyDescent="0.25">
      <c r="A1487" t="str">
        <f>T("   210420")</f>
        <v xml:space="preserve">   210420</v>
      </c>
      <c r="B1487" t="s">
        <v>60</v>
      </c>
      <c r="C1487">
        <v>200000</v>
      </c>
      <c r="D1487">
        <v>15</v>
      </c>
    </row>
    <row r="1488" spans="1:4" x14ac:dyDescent="0.25">
      <c r="A1488" t="str">
        <f>T("   271011")</f>
        <v xml:space="preserve">   271011</v>
      </c>
      <c r="B1488"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488">
        <v>165849487</v>
      </c>
      <c r="D1488">
        <v>427140</v>
      </c>
    </row>
    <row r="1489" spans="1:4" x14ac:dyDescent="0.25">
      <c r="A1489" t="str">
        <f>T("   271019")</f>
        <v xml:space="preserve">   271019</v>
      </c>
      <c r="B1489" t="str">
        <f>T("   Huiles moyennes et préparations, de pétrole ou de minéraux bitumineux, n.d.a.")</f>
        <v xml:space="preserve">   Huiles moyennes et préparations, de pétrole ou de minéraux bitumineux, n.d.a.</v>
      </c>
      <c r="C1489">
        <v>248377587</v>
      </c>
      <c r="D1489">
        <v>2010404</v>
      </c>
    </row>
    <row r="1490" spans="1:4" x14ac:dyDescent="0.25">
      <c r="A1490" t="str">
        <f>T("   300230")</f>
        <v xml:space="preserve">   300230</v>
      </c>
      <c r="B1490" t="str">
        <f>T("   Vaccins pour la médecine vétérinaire")</f>
        <v xml:space="preserve">   Vaccins pour la médecine vétérinaire</v>
      </c>
      <c r="C1490">
        <v>53571429</v>
      </c>
      <c r="D1490">
        <v>3250</v>
      </c>
    </row>
    <row r="1491" spans="1:4" x14ac:dyDescent="0.25">
      <c r="A1491" t="str">
        <f>T("   330300")</f>
        <v xml:space="preserve">   330300</v>
      </c>
      <c r="B1491"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491">
        <v>385475</v>
      </c>
      <c r="D1491">
        <v>1490</v>
      </c>
    </row>
    <row r="1492" spans="1:4" x14ac:dyDescent="0.25">
      <c r="A1492" t="str">
        <f>T("   330499")</f>
        <v xml:space="preserve">   330499</v>
      </c>
      <c r="B1492" t="s">
        <v>97</v>
      </c>
      <c r="C1492">
        <v>8464801</v>
      </c>
      <c r="D1492">
        <v>41418</v>
      </c>
    </row>
    <row r="1493" spans="1:4" x14ac:dyDescent="0.25">
      <c r="A1493" t="str">
        <f>T("   330590")</f>
        <v xml:space="preserve">   330590</v>
      </c>
      <c r="B1493"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493">
        <v>64868</v>
      </c>
      <c r="D1493">
        <v>438</v>
      </c>
    </row>
    <row r="1494" spans="1:4" x14ac:dyDescent="0.25">
      <c r="A1494" t="str">
        <f>T("   340111")</f>
        <v xml:space="preserve">   340111</v>
      </c>
      <c r="B1494" t="s">
        <v>98</v>
      </c>
      <c r="C1494">
        <v>134813</v>
      </c>
      <c r="D1494">
        <v>909</v>
      </c>
    </row>
    <row r="1495" spans="1:4" x14ac:dyDescent="0.25">
      <c r="A1495" t="str">
        <f>T("   481710")</f>
        <v xml:space="preserve">   481710</v>
      </c>
      <c r="B1495" t="str">
        <f>T("   Enveloppes, en papier ou en carton")</f>
        <v xml:space="preserve">   Enveloppes, en papier ou en carton</v>
      </c>
      <c r="C1495">
        <v>86274</v>
      </c>
      <c r="D1495">
        <v>10</v>
      </c>
    </row>
    <row r="1496" spans="1:4" x14ac:dyDescent="0.25">
      <c r="A1496" t="str">
        <f>T("   490199")</f>
        <v xml:space="preserve">   490199</v>
      </c>
      <c r="B149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496">
        <v>5890077</v>
      </c>
      <c r="D1496">
        <v>515</v>
      </c>
    </row>
    <row r="1497" spans="1:4" x14ac:dyDescent="0.25">
      <c r="A1497" t="str">
        <f>T("   610910")</f>
        <v xml:space="preserve">   610910</v>
      </c>
      <c r="B1497" t="str">
        <f>T("   T-shirts et maillots de corps, en bonneterie, de coton,")</f>
        <v xml:space="preserve">   T-shirts et maillots de corps, en bonneterie, de coton,</v>
      </c>
      <c r="C1497">
        <v>937500</v>
      </c>
      <c r="D1497">
        <v>615</v>
      </c>
    </row>
    <row r="1498" spans="1:4" x14ac:dyDescent="0.25">
      <c r="A1498" t="str">
        <f>T("   620520")</f>
        <v xml:space="preserve">   620520</v>
      </c>
      <c r="B1498"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1498">
        <v>2000000</v>
      </c>
      <c r="D1498">
        <v>1500</v>
      </c>
    </row>
    <row r="1499" spans="1:4" x14ac:dyDescent="0.25">
      <c r="A1499" t="str">
        <f>T("   620590")</f>
        <v xml:space="preserve">   620590</v>
      </c>
      <c r="B149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499">
        <v>1650000</v>
      </c>
      <c r="D1499">
        <v>2231</v>
      </c>
    </row>
    <row r="1500" spans="1:4" x14ac:dyDescent="0.25">
      <c r="A1500" t="str">
        <f>T("   621040")</f>
        <v xml:space="preserve">   621040</v>
      </c>
      <c r="B1500" t="s">
        <v>265</v>
      </c>
      <c r="C1500">
        <v>3000000</v>
      </c>
      <c r="D1500">
        <v>2300</v>
      </c>
    </row>
    <row r="1501" spans="1:4" x14ac:dyDescent="0.25">
      <c r="A1501" t="str">
        <f>T("   621149")</f>
        <v xml:space="preserve">   621149</v>
      </c>
      <c r="B1501"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1501">
        <v>255825</v>
      </c>
      <c r="D1501">
        <v>70</v>
      </c>
    </row>
    <row r="1502" spans="1:4" x14ac:dyDescent="0.25">
      <c r="A1502" t="str">
        <f>T("   630319")</f>
        <v xml:space="preserve">   630319</v>
      </c>
      <c r="B1502"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1502">
        <v>100000</v>
      </c>
      <c r="D1502">
        <v>100</v>
      </c>
    </row>
    <row r="1503" spans="1:4" x14ac:dyDescent="0.25">
      <c r="A1503" t="str">
        <f>T("   701090")</f>
        <v xml:space="preserve">   701090</v>
      </c>
      <c r="B1503" t="s">
        <v>320</v>
      </c>
      <c r="C1503">
        <v>218777748</v>
      </c>
      <c r="D1503">
        <v>437000</v>
      </c>
    </row>
    <row r="1504" spans="1:4" x14ac:dyDescent="0.25">
      <c r="A1504" t="str">
        <f>T("   732394")</f>
        <v xml:space="preserve">   732394</v>
      </c>
      <c r="B1504" t="s">
        <v>362</v>
      </c>
      <c r="C1504">
        <v>2200000</v>
      </c>
      <c r="D1504">
        <v>2931</v>
      </c>
    </row>
    <row r="1505" spans="1:4" x14ac:dyDescent="0.25">
      <c r="A1505" t="str">
        <f>T("   760692")</f>
        <v xml:space="preserve">   760692</v>
      </c>
      <c r="B1505" t="str">
        <f>T("   Tôles et bandes en alliages d'aluminium, d'une épaisseur &gt; 0,2 mm, de forme autre que carrée ou rectangulaire")</f>
        <v xml:space="preserve">   Tôles et bandes en alliages d'aluminium, d'une épaisseur &gt; 0,2 mm, de forme autre que carrée ou rectangulaire</v>
      </c>
      <c r="C1505">
        <v>30508844</v>
      </c>
      <c r="D1505">
        <v>17524</v>
      </c>
    </row>
    <row r="1506" spans="1:4" x14ac:dyDescent="0.25">
      <c r="A1506" t="str">
        <f>T("   831000")</f>
        <v xml:space="preserve">   831000</v>
      </c>
      <c r="B1506" t="s">
        <v>383</v>
      </c>
      <c r="C1506">
        <v>382628</v>
      </c>
      <c r="D1506">
        <v>22</v>
      </c>
    </row>
    <row r="1507" spans="1:4" x14ac:dyDescent="0.25">
      <c r="A1507" t="str">
        <f>T("   845019")</f>
        <v xml:space="preserve">   845019</v>
      </c>
      <c r="B1507"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1507">
        <v>150000</v>
      </c>
      <c r="D1507">
        <v>250</v>
      </c>
    </row>
    <row r="1508" spans="1:4" x14ac:dyDescent="0.25">
      <c r="A1508" t="str">
        <f>T("   852812")</f>
        <v xml:space="preserve">   852812</v>
      </c>
      <c r="B1508"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508">
        <v>473751</v>
      </c>
      <c r="D1508">
        <v>68</v>
      </c>
    </row>
    <row r="1509" spans="1:4" x14ac:dyDescent="0.25">
      <c r="A1509" t="str">
        <f>T("   870322")</f>
        <v xml:space="preserve">   870322</v>
      </c>
      <c r="B1509" t="s">
        <v>472</v>
      </c>
      <c r="C1509">
        <v>6156000</v>
      </c>
      <c r="D1509">
        <v>3230</v>
      </c>
    </row>
    <row r="1510" spans="1:4" x14ac:dyDescent="0.25">
      <c r="A1510" t="str">
        <f>T("   871120")</f>
        <v xml:space="preserve">   871120</v>
      </c>
      <c r="B1510" t="str">
        <f>T("   Motocycles à moteur à piston alternatif, cylindrée &gt; 50 cm³ mais &lt;= 250 cm³")</f>
        <v xml:space="preserve">   Motocycles à moteur à piston alternatif, cylindrée &gt; 50 cm³ mais &lt;= 250 cm³</v>
      </c>
      <c r="C1510">
        <v>215302</v>
      </c>
      <c r="D1510">
        <v>250</v>
      </c>
    </row>
    <row r="1511" spans="1:4" x14ac:dyDescent="0.25">
      <c r="A1511" t="str">
        <f>T("   871140")</f>
        <v xml:space="preserve">   871140</v>
      </c>
      <c r="B1511" t="str">
        <f>T("   Motocycles à moteur à piston alternatif, cylindrée &gt; 500 cm³ mais &lt;= 800 cm³")</f>
        <v xml:space="preserve">   Motocycles à moteur à piston alternatif, cylindrée &gt; 500 cm³ mais &lt;= 800 cm³</v>
      </c>
      <c r="C1511">
        <v>358301</v>
      </c>
      <c r="D1511">
        <v>300</v>
      </c>
    </row>
    <row r="1512" spans="1:4" x14ac:dyDescent="0.25">
      <c r="A1512" t="str">
        <f>T("   940169")</f>
        <v xml:space="preserve">   940169</v>
      </c>
      <c r="B1512" t="str">
        <f>T("   Sièges, avec bâti en bois, non rembourrés")</f>
        <v xml:space="preserve">   Sièges, avec bâti en bois, non rembourrés</v>
      </c>
      <c r="C1512">
        <v>1487717</v>
      </c>
      <c r="D1512">
        <v>2562</v>
      </c>
    </row>
    <row r="1513" spans="1:4" x14ac:dyDescent="0.25">
      <c r="A1513" t="str">
        <f>T("   940350")</f>
        <v xml:space="preserve">   940350</v>
      </c>
      <c r="B1513" t="str">
        <f>T("   Meubles pour chambres à coucher, en bois (sauf sièges)")</f>
        <v xml:space="preserve">   Meubles pour chambres à coucher, en bois (sauf sièges)</v>
      </c>
      <c r="C1513">
        <v>3550000</v>
      </c>
      <c r="D1513">
        <v>5182</v>
      </c>
    </row>
    <row r="1514" spans="1:4" x14ac:dyDescent="0.25">
      <c r="A1514" t="str">
        <f>T("   940380")</f>
        <v xml:space="preserve">   940380</v>
      </c>
      <c r="B1514" t="str">
        <f>T("   Meubles en rotin, osier, bambou ou autres matières (sauf métal, bois et matières plastiques)")</f>
        <v xml:space="preserve">   Meubles en rotin, osier, bambou ou autres matières (sauf métal, bois et matières plastiques)</v>
      </c>
      <c r="C1514">
        <v>300000</v>
      </c>
      <c r="D1514">
        <v>300</v>
      </c>
    </row>
    <row r="1515" spans="1:4" x14ac:dyDescent="0.25">
      <c r="A1515" t="str">
        <f>T("   950299")</f>
        <v xml:space="preserve">   950299</v>
      </c>
      <c r="B1515" t="str">
        <f>T("   Parties et accessoires pour poupées représentant uniquement l'être humain, n.d.a.")</f>
        <v xml:space="preserve">   Parties et accessoires pour poupées représentant uniquement l'être humain, n.d.a.</v>
      </c>
      <c r="C1515">
        <v>100000</v>
      </c>
      <c r="D1515">
        <v>300</v>
      </c>
    </row>
    <row r="1516" spans="1:4" x14ac:dyDescent="0.25">
      <c r="A1516" t="str">
        <f>T("CN")</f>
        <v>CN</v>
      </c>
      <c r="B1516" t="str">
        <f>T("Chine")</f>
        <v>Chine</v>
      </c>
    </row>
    <row r="1517" spans="1:4" x14ac:dyDescent="0.25">
      <c r="A1517" t="str">
        <f>T("   ZZ_Total_Produit_SH6")</f>
        <v xml:space="preserve">   ZZ_Total_Produit_SH6</v>
      </c>
      <c r="B1517" t="str">
        <f>T("   ZZ_Total_Produit_SH6")</f>
        <v xml:space="preserve">   ZZ_Total_Produit_SH6</v>
      </c>
      <c r="C1517">
        <v>90707724970.085999</v>
      </c>
      <c r="D1517">
        <v>207934348.65000001</v>
      </c>
    </row>
    <row r="1518" spans="1:4" x14ac:dyDescent="0.25">
      <c r="A1518" t="str">
        <f>T("   020713")</f>
        <v xml:space="preserve">   020713</v>
      </c>
      <c r="B1518" t="str">
        <f>T("   Morceaux et abats comestibles de coqs et de poules [des espèces domestiques], frais ou réfrigérés")</f>
        <v xml:space="preserve">   Morceaux et abats comestibles de coqs et de poules [des espèces domestiques], frais ou réfrigérés</v>
      </c>
      <c r="C1518">
        <v>15550187</v>
      </c>
      <c r="D1518">
        <v>25000</v>
      </c>
    </row>
    <row r="1519" spans="1:4" x14ac:dyDescent="0.25">
      <c r="A1519" t="str">
        <f>T("   020727")</f>
        <v xml:space="preserve">   020727</v>
      </c>
      <c r="B1519" t="str">
        <f>T("   Morceaux et abats comestibles de dindes et dindons [des espèces domestiques], congelés")</f>
        <v xml:space="preserve">   Morceaux et abats comestibles de dindes et dindons [des espèces domestiques], congelés</v>
      </c>
      <c r="C1519">
        <v>15000493</v>
      </c>
      <c r="D1519">
        <v>25000</v>
      </c>
    </row>
    <row r="1520" spans="1:4" x14ac:dyDescent="0.25">
      <c r="A1520" t="str">
        <f>T("   030219")</f>
        <v xml:space="preserve">   030219</v>
      </c>
      <c r="B1520" t="str">
        <f>T("   Salmonidés, frais ou réfrigérés (à l'excl. des truites et des saumons du Pacifique, de l'Atlantique et du Danube)")</f>
        <v xml:space="preserve">   Salmonidés, frais ou réfrigérés (à l'excl. des truites et des saumons du Pacifique, de l'Atlantique et du Danube)</v>
      </c>
      <c r="C1520">
        <v>11250370</v>
      </c>
      <c r="D1520">
        <v>50000</v>
      </c>
    </row>
    <row r="1521" spans="1:4" x14ac:dyDescent="0.25">
      <c r="A1521" t="str">
        <f>T("   030329")</f>
        <v xml:space="preserve">   030329</v>
      </c>
      <c r="B1521" t="str">
        <f>T("   Salmonidés, congelés (à l'excl. des saumons du Pacifique, de l'Atlantique et du Danube ainsi que des truites)")</f>
        <v xml:space="preserve">   Salmonidés, congelés (à l'excl. des saumons du Pacifique, de l'Atlantique et du Danube ainsi que des truites)</v>
      </c>
      <c r="C1521">
        <v>14332757</v>
      </c>
      <c r="D1521">
        <v>74810</v>
      </c>
    </row>
    <row r="1522" spans="1:4" x14ac:dyDescent="0.25">
      <c r="A1522" t="str">
        <f>T("   030339")</f>
        <v xml:space="preserve">   030339</v>
      </c>
      <c r="B1522" t="str">
        <f>T("   Poissons plats [pleuronectidés, bothidés, cynoglossidés, soléidés, scophthalmidés et citharidés], congelés (à l'excl. des flétans, des plies ou carrelets et des soles)")</f>
        <v xml:space="preserve">   Poissons plats [pleuronectidés, bothidés, cynoglossidés, soléidés, scophthalmidés et citharidés], congelés (à l'excl. des flétans, des plies ou carrelets et des soles)</v>
      </c>
      <c r="C1522">
        <v>4359510</v>
      </c>
      <c r="D1522">
        <v>24890</v>
      </c>
    </row>
    <row r="1523" spans="1:4" x14ac:dyDescent="0.25">
      <c r="A1523" t="str">
        <f>T("   030349")</f>
        <v xml:space="preserve">   030349</v>
      </c>
      <c r="B1523" t="str">
        <f>T("   Thons du genre 'Thunnus', congelés (à l'excl. des thons des espèces 'Thunnus alalunga, Thunnus albacares, Thunnus obesus, Thunnus thynnus et Thunnus maccoyii')")</f>
        <v xml:space="preserve">   Thons du genre 'Thunnus', congelés (à l'excl. des thons des espèces 'Thunnus alalunga, Thunnus albacares, Thunnus obesus, Thunnus thynnus et Thunnus maccoyii')</v>
      </c>
      <c r="C1523">
        <v>4375027</v>
      </c>
      <c r="D1523">
        <v>25000</v>
      </c>
    </row>
    <row r="1524" spans="1:4" x14ac:dyDescent="0.25">
      <c r="A1524" t="str">
        <f>T("   030379")</f>
        <v xml:space="preserve">   030379</v>
      </c>
      <c r="B1524" t="s">
        <v>17</v>
      </c>
      <c r="C1524">
        <v>204153617</v>
      </c>
      <c r="D1524">
        <v>1053718</v>
      </c>
    </row>
    <row r="1525" spans="1:4" x14ac:dyDescent="0.25">
      <c r="A1525" t="str">
        <f>T("   040210")</f>
        <v xml:space="preserve">   040210</v>
      </c>
      <c r="B1525"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1525">
        <v>680383195</v>
      </c>
      <c r="D1525">
        <v>893221</v>
      </c>
    </row>
    <row r="1526" spans="1:4" x14ac:dyDescent="0.25">
      <c r="A1526" t="str">
        <f>T("   040221")</f>
        <v xml:space="preserve">   040221</v>
      </c>
      <c r="B1526"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1526">
        <v>498004911</v>
      </c>
      <c r="D1526">
        <v>1171577</v>
      </c>
    </row>
    <row r="1527" spans="1:4" x14ac:dyDescent="0.25">
      <c r="A1527" t="str">
        <f>T("   040229")</f>
        <v xml:space="preserve">   040229</v>
      </c>
      <c r="B1527"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1527">
        <v>20210226</v>
      </c>
      <c r="D1527">
        <v>55198</v>
      </c>
    </row>
    <row r="1528" spans="1:4" x14ac:dyDescent="0.25">
      <c r="A1528" t="str">
        <f>T("   040291")</f>
        <v xml:space="preserve">   040291</v>
      </c>
      <c r="B1528"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1528">
        <v>94468859</v>
      </c>
      <c r="D1528">
        <v>189394</v>
      </c>
    </row>
    <row r="1529" spans="1:4" x14ac:dyDescent="0.25">
      <c r="A1529" t="str">
        <f>T("   040299")</f>
        <v xml:space="preserve">   040299</v>
      </c>
      <c r="B1529"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1529">
        <v>401983133</v>
      </c>
      <c r="D1529">
        <v>1202703</v>
      </c>
    </row>
    <row r="1530" spans="1:4" x14ac:dyDescent="0.25">
      <c r="A1530" t="str">
        <f>T("   040510")</f>
        <v xml:space="preserve">   040510</v>
      </c>
      <c r="B1530" t="str">
        <f>T("   Beurre (sauf beurre déshydraté et ghee)")</f>
        <v xml:space="preserve">   Beurre (sauf beurre déshydraté et ghee)</v>
      </c>
      <c r="C1530">
        <v>7500000</v>
      </c>
      <c r="D1530">
        <v>40510</v>
      </c>
    </row>
    <row r="1531" spans="1:4" x14ac:dyDescent="0.25">
      <c r="A1531" t="str">
        <f>T("   040610")</f>
        <v xml:space="preserve">   040610</v>
      </c>
      <c r="B1531" t="str">
        <f>T("   FROMAGES FRAIS [NON-AFFINÉS], Y.C. LE FROMAGE DE LACTOSÉRUM, ET CAILLEBOTTE [01/01/1988-31/12/1991: FROMAGES FRAIS [NON AFFINES], Y.C. LE FROMAGE DE LACTOSERUM, NON FERMENTES, ET CAILLEBOTTE]")</f>
        <v xml:space="preserve">   FROMAGES FRAIS [NON-AFFINÉS], Y.C. LE FROMAGE DE LACTOSÉRUM, ET CAILLEBOTTE [01/01/1988-31/12/1991: FROMAGES FRAIS [NON AFFINES], Y.C. LE FROMAGE DE LACTOSERUM, NON FERMENTES, ET CAILLEBOTTE]</v>
      </c>
      <c r="C1531">
        <v>3000000</v>
      </c>
      <c r="D1531">
        <v>10210</v>
      </c>
    </row>
    <row r="1532" spans="1:4" x14ac:dyDescent="0.25">
      <c r="A1532" t="str">
        <f>T("   040690")</f>
        <v xml:space="preserve">   040690</v>
      </c>
      <c r="B1532" t="s">
        <v>18</v>
      </c>
      <c r="C1532">
        <v>802269</v>
      </c>
      <c r="D1532">
        <v>2000</v>
      </c>
    </row>
    <row r="1533" spans="1:4" x14ac:dyDescent="0.25">
      <c r="A1533" t="str">
        <f>T("   060499")</f>
        <v xml:space="preserve">   060499</v>
      </c>
      <c r="B1533" t="str">
        <f>T("   Feuillages, feuilles, rameaux et autres parties de plantes, sans fleurs ni boutons de fleurs, et herbes, pour bouquets ou pour ornements, séchés, blanchis, teints, imprégnés ou autrement travaillés")</f>
        <v xml:space="preserve">   Feuillages, feuilles, rameaux et autres parties de plantes, sans fleurs ni boutons de fleurs, et herbes, pour bouquets ou pour ornements, séchés, blanchis, teints, imprégnés ou autrement travaillés</v>
      </c>
      <c r="C1533">
        <v>176871</v>
      </c>
      <c r="D1533">
        <v>420</v>
      </c>
    </row>
    <row r="1534" spans="1:4" x14ac:dyDescent="0.25">
      <c r="A1534" t="str">
        <f>T("   070190")</f>
        <v xml:space="preserve">   070190</v>
      </c>
      <c r="B1534" t="str">
        <f>T("   Pommes de terre, à l'état frais ou réfrigéré (à l'excl. des pommes de terre de semence)")</f>
        <v xml:space="preserve">   Pommes de terre, à l'état frais ou réfrigéré (à l'excl. des pommes de terre de semence)</v>
      </c>
      <c r="C1534">
        <v>2404626</v>
      </c>
      <c r="D1534">
        <v>15200</v>
      </c>
    </row>
    <row r="1535" spans="1:4" x14ac:dyDescent="0.25">
      <c r="A1535" t="str">
        <f>T("   070320")</f>
        <v xml:space="preserve">   070320</v>
      </c>
      <c r="B1535" t="str">
        <f>T("   Aulx, à l'état frais ou réfrigéré")</f>
        <v xml:space="preserve">   Aulx, à l'état frais ou réfrigéré</v>
      </c>
      <c r="C1535">
        <v>103181964</v>
      </c>
      <c r="D1535">
        <v>504815</v>
      </c>
    </row>
    <row r="1536" spans="1:4" x14ac:dyDescent="0.25">
      <c r="A1536" t="str">
        <f>T("   070390")</f>
        <v xml:space="preserve">   070390</v>
      </c>
      <c r="B1536" t="str">
        <f>T("   Poireaux et autres légumes alliacés, à l'état frais ou réfrigéré (à l'excl. des oignons, des échalotes et des aulx)")</f>
        <v xml:space="preserve">   Poireaux et autres légumes alliacés, à l'état frais ou réfrigéré (à l'excl. des oignons, des échalotes et des aulx)</v>
      </c>
      <c r="C1536">
        <v>5498255</v>
      </c>
      <c r="D1536">
        <v>14000</v>
      </c>
    </row>
    <row r="1537" spans="1:4" x14ac:dyDescent="0.25">
      <c r="A1537" t="str">
        <f>T("   071239")</f>
        <v xml:space="preserve">   071239</v>
      </c>
      <c r="B1537" t="str">
        <f>T("   Champignons et truffes, séchés, même coupés en morceaux ou en tranches ou bien broyés ou pulvérisés, mais non autrement préparés (à l'excl. des champignons du genre 'Agaricus', des oreilles-de-Judas 'Auricularia spp.' et des trémelles 'Tremella spp.')")</f>
        <v xml:space="preserve">   Champignons et truffes, séchés, même coupés en morceaux ou en tranches ou bien broyés ou pulvérisés, mais non autrement préparés (à l'excl. des champignons du genre 'Agaricus', des oreilles-de-Judas 'Auricularia spp.' et des trémelles 'Tremella spp.')</v>
      </c>
      <c r="C1537">
        <v>1567955</v>
      </c>
      <c r="D1537">
        <v>10450</v>
      </c>
    </row>
    <row r="1538" spans="1:4" x14ac:dyDescent="0.25">
      <c r="A1538" t="str">
        <f>T("   080290")</f>
        <v xml:space="preserve">   080290</v>
      </c>
      <c r="B1538"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1538">
        <v>954525</v>
      </c>
      <c r="D1538">
        <v>3500</v>
      </c>
    </row>
    <row r="1539" spans="1:4" x14ac:dyDescent="0.25">
      <c r="A1539" t="str">
        <f>T("   080810")</f>
        <v xml:space="preserve">   080810</v>
      </c>
      <c r="B1539" t="str">
        <f>T("   Pommes, fraîches")</f>
        <v xml:space="preserve">   Pommes, fraîches</v>
      </c>
      <c r="C1539">
        <v>70004095</v>
      </c>
      <c r="D1539">
        <v>228632</v>
      </c>
    </row>
    <row r="1540" spans="1:4" x14ac:dyDescent="0.25">
      <c r="A1540" t="str">
        <f>T("   090111")</f>
        <v xml:space="preserve">   090111</v>
      </c>
      <c r="B1540" t="str">
        <f>T("   Café, non torréfié, non décaféiné")</f>
        <v xml:space="preserve">   Café, non torréfié, non décaféiné</v>
      </c>
      <c r="C1540">
        <v>6500000</v>
      </c>
      <c r="D1540">
        <v>31000</v>
      </c>
    </row>
    <row r="1541" spans="1:4" x14ac:dyDescent="0.25">
      <c r="A1541" t="str">
        <f>T("   090121")</f>
        <v xml:space="preserve">   090121</v>
      </c>
      <c r="B1541" t="str">
        <f>T("   Café, torréfié, non décaféiné")</f>
        <v xml:space="preserve">   Café, torréfié, non décaféiné</v>
      </c>
      <c r="C1541">
        <v>1000000</v>
      </c>
      <c r="D1541">
        <v>3131</v>
      </c>
    </row>
    <row r="1542" spans="1:4" x14ac:dyDescent="0.25">
      <c r="A1542" t="str">
        <f>T("   090190")</f>
        <v xml:space="preserve">   090190</v>
      </c>
      <c r="B1542" t="str">
        <f>T("   Coques et pellicules de café; succédanés du café contenant du café, quelles que soient les proportions du mélange")</f>
        <v xml:space="preserve">   Coques et pellicules de café; succédanés du café contenant du café, quelles que soient les proportions du mélange</v>
      </c>
      <c r="C1542">
        <v>2500000</v>
      </c>
      <c r="D1542">
        <v>13060</v>
      </c>
    </row>
    <row r="1543" spans="1:4" x14ac:dyDescent="0.25">
      <c r="A1543" t="str">
        <f>T("   090210")</f>
        <v xml:space="preserve">   090210</v>
      </c>
      <c r="B1543" t="str">
        <f>T("   Thé vert [thé non fermenté], présenté en emballages immédiats d'un contenu &lt;= 3 kg")</f>
        <v xml:space="preserve">   Thé vert [thé non fermenté], présenté en emballages immédiats d'un contenu &lt;= 3 kg</v>
      </c>
      <c r="C1543">
        <v>1367068</v>
      </c>
      <c r="D1543">
        <v>4903</v>
      </c>
    </row>
    <row r="1544" spans="1:4" x14ac:dyDescent="0.25">
      <c r="A1544" t="str">
        <f>T("   090220")</f>
        <v xml:space="preserve">   090220</v>
      </c>
      <c r="B1544" t="str">
        <f>T("   Thé vert [thé non fermenté], présenté en emballages immédiats d'un contenu &gt; 3 kg")</f>
        <v xml:space="preserve">   Thé vert [thé non fermenté], présenté en emballages immédiats d'un contenu &gt; 3 kg</v>
      </c>
      <c r="C1544">
        <v>4754799</v>
      </c>
      <c r="D1544">
        <v>14260</v>
      </c>
    </row>
    <row r="1545" spans="1:4" x14ac:dyDescent="0.25">
      <c r="A1545" t="str">
        <f>T("   090240")</f>
        <v xml:space="preserve">   090240</v>
      </c>
      <c r="B1545" t="s">
        <v>25</v>
      </c>
      <c r="C1545">
        <v>144372896</v>
      </c>
      <c r="D1545">
        <v>567911</v>
      </c>
    </row>
    <row r="1546" spans="1:4" x14ac:dyDescent="0.25">
      <c r="A1546" t="str">
        <f>T("   090412")</f>
        <v xml:space="preserve">   090412</v>
      </c>
      <c r="B1546" t="str">
        <f>T("   Poivre du genre 'Piper', broyé ou pulvérisé")</f>
        <v xml:space="preserve">   Poivre du genre 'Piper', broyé ou pulvérisé</v>
      </c>
      <c r="C1546">
        <v>1500000</v>
      </c>
      <c r="D1546">
        <v>11354</v>
      </c>
    </row>
    <row r="1547" spans="1:4" x14ac:dyDescent="0.25">
      <c r="A1547" t="str">
        <f>T("   091099")</f>
        <v xml:space="preserve">   091099</v>
      </c>
      <c r="B1547" t="s">
        <v>26</v>
      </c>
      <c r="C1547">
        <v>40740438</v>
      </c>
      <c r="D1547">
        <v>219550</v>
      </c>
    </row>
    <row r="1548" spans="1:4" x14ac:dyDescent="0.25">
      <c r="A1548" t="str">
        <f>T("   100590")</f>
        <v xml:space="preserve">   100590</v>
      </c>
      <c r="B1548" t="str">
        <f>T("   Maïs (autre que de semence)")</f>
        <v xml:space="preserve">   Maïs (autre que de semence)</v>
      </c>
      <c r="C1548">
        <v>16746421</v>
      </c>
      <c r="D1548">
        <v>71350</v>
      </c>
    </row>
    <row r="1549" spans="1:4" x14ac:dyDescent="0.25">
      <c r="A1549" t="str">
        <f>T("   100630")</f>
        <v xml:space="preserve">   100630</v>
      </c>
      <c r="B1549" t="str">
        <f>T("   Riz semi-blanchi ou blanchi, même poli ou glacé")</f>
        <v xml:space="preserve">   Riz semi-blanchi ou blanchi, même poli ou glacé</v>
      </c>
      <c r="C1549">
        <v>621475570.398</v>
      </c>
      <c r="D1549">
        <v>1492216</v>
      </c>
    </row>
    <row r="1550" spans="1:4" x14ac:dyDescent="0.25">
      <c r="A1550" t="str">
        <f>T("   100640")</f>
        <v xml:space="preserve">   100640</v>
      </c>
      <c r="B1550" t="str">
        <f>T("   Riz en brisures")</f>
        <v xml:space="preserve">   Riz en brisures</v>
      </c>
      <c r="C1550">
        <v>128029.336</v>
      </c>
      <c r="D1550">
        <v>500</v>
      </c>
    </row>
    <row r="1551" spans="1:4" x14ac:dyDescent="0.25">
      <c r="A1551" t="str">
        <f>T("   120710")</f>
        <v xml:space="preserve">   120710</v>
      </c>
      <c r="B1551" t="str">
        <f>T("   NOIX ET AMANDES DE PALMISTES")</f>
        <v xml:space="preserve">   NOIX ET AMANDES DE PALMISTES</v>
      </c>
      <c r="C1551">
        <v>859446</v>
      </c>
      <c r="D1551">
        <v>89060</v>
      </c>
    </row>
    <row r="1552" spans="1:4" x14ac:dyDescent="0.25">
      <c r="A1552" t="str">
        <f>T("   130190")</f>
        <v xml:space="preserve">   130190</v>
      </c>
      <c r="B1552" t="str">
        <f>T("   Gommes, résines, gommes-résines, baumes et autres oléorésines, naturelles (à l'excl. de la gomme arabique)")</f>
        <v xml:space="preserve">   Gommes, résines, gommes-résines, baumes et autres oléorésines, naturelles (à l'excl. de la gomme arabique)</v>
      </c>
      <c r="C1552">
        <v>1000000</v>
      </c>
      <c r="D1552">
        <v>11050</v>
      </c>
    </row>
    <row r="1553" spans="1:4" x14ac:dyDescent="0.25">
      <c r="A1553" t="str">
        <f>T("   150890")</f>
        <v xml:space="preserve">   150890</v>
      </c>
      <c r="B1553" t="str">
        <f>T("   Huile d'arachide et ses fractions, même raffinées, mais non chimiquement modifiées (à l'excl. de l'huile d'arachide brute)")</f>
        <v xml:space="preserve">   Huile d'arachide et ses fractions, même raffinées, mais non chimiquement modifiées (à l'excl. de l'huile d'arachide brute)</v>
      </c>
      <c r="C1553">
        <v>94890486.506999999</v>
      </c>
      <c r="D1553">
        <v>237930</v>
      </c>
    </row>
    <row r="1554" spans="1:4" x14ac:dyDescent="0.25">
      <c r="A1554" t="str">
        <f>T("   151190")</f>
        <v xml:space="preserve">   151190</v>
      </c>
      <c r="B1554" t="str">
        <f>T("   Huile de palme et ses fractions, même raffinées, mais non chimiquement modifiées (à l'excl. de l'huile de palme brute)")</f>
        <v xml:space="preserve">   Huile de palme et ses fractions, même raffinées, mais non chimiquement modifiées (à l'excl. de l'huile de palme brute)</v>
      </c>
      <c r="C1554">
        <v>1817937191.2349999</v>
      </c>
      <c r="D1554">
        <v>4718302.2</v>
      </c>
    </row>
    <row r="1555" spans="1:4" x14ac:dyDescent="0.25">
      <c r="A1555" t="str">
        <f>T("   151590")</f>
        <v xml:space="preserve">   151590</v>
      </c>
      <c r="B1555" t="s">
        <v>36</v>
      </c>
      <c r="C1555">
        <v>21259000</v>
      </c>
      <c r="D1555">
        <v>85036</v>
      </c>
    </row>
    <row r="1556" spans="1:4" x14ac:dyDescent="0.25">
      <c r="A1556" t="str">
        <f>T("   151620")</f>
        <v xml:space="preserve">   151620</v>
      </c>
      <c r="B1556"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1556">
        <v>4400000</v>
      </c>
      <c r="D1556">
        <v>23328</v>
      </c>
    </row>
    <row r="1557" spans="1:4" x14ac:dyDescent="0.25">
      <c r="A1557" t="str">
        <f>T("   151710")</f>
        <v xml:space="preserve">   151710</v>
      </c>
      <c r="B1557" t="str">
        <f>T("   Margarine (à l'excl. de la margarine liquide)")</f>
        <v xml:space="preserve">   Margarine (à l'excl. de la margarine liquide)</v>
      </c>
      <c r="C1557">
        <v>67814538</v>
      </c>
      <c r="D1557">
        <v>252220</v>
      </c>
    </row>
    <row r="1558" spans="1:4" x14ac:dyDescent="0.25">
      <c r="A1558" t="str">
        <f>T("   160239")</f>
        <v xml:space="preserve">   160239</v>
      </c>
      <c r="B1558" t="s">
        <v>41</v>
      </c>
      <c r="C1558">
        <v>3500000</v>
      </c>
      <c r="D1558">
        <v>10200</v>
      </c>
    </row>
    <row r="1559" spans="1:4" x14ac:dyDescent="0.25">
      <c r="A1559" t="str">
        <f>T("   160250")</f>
        <v xml:space="preserve">   160250</v>
      </c>
      <c r="B1559" t="s">
        <v>43</v>
      </c>
      <c r="C1559">
        <v>6000000</v>
      </c>
      <c r="D1559">
        <v>35720</v>
      </c>
    </row>
    <row r="1560" spans="1:4" x14ac:dyDescent="0.25">
      <c r="A1560" t="str">
        <f>T("   160413")</f>
        <v xml:space="preserve">   160413</v>
      </c>
      <c r="B1560"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1560">
        <v>113038900</v>
      </c>
      <c r="D1560">
        <v>590890</v>
      </c>
    </row>
    <row r="1561" spans="1:4" x14ac:dyDescent="0.25">
      <c r="A1561" t="str">
        <f>T("   160414")</f>
        <v xml:space="preserve">   160414</v>
      </c>
      <c r="B1561"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1561">
        <v>5500000</v>
      </c>
      <c r="D1561">
        <v>37900</v>
      </c>
    </row>
    <row r="1562" spans="1:4" x14ac:dyDescent="0.25">
      <c r="A1562" t="str">
        <f>T("   160415")</f>
        <v xml:space="preserve">   160415</v>
      </c>
      <c r="B1562" t="str">
        <f>T("   Préparations et conserves de maquereaux entiers ou en morceaux (à l'excl. des préparations et conserves de maquereaux hachés)")</f>
        <v xml:space="preserve">   Préparations et conserves de maquereaux entiers ou en morceaux (à l'excl. des préparations et conserves de maquereaux hachés)</v>
      </c>
      <c r="C1562">
        <v>14257798</v>
      </c>
      <c r="D1562">
        <v>37620</v>
      </c>
    </row>
    <row r="1563" spans="1:4" x14ac:dyDescent="0.25">
      <c r="A1563" t="str">
        <f>T("   160590")</f>
        <v xml:space="preserve">   160590</v>
      </c>
      <c r="B1563" t="str">
        <f>T("   Mollusques et autres invertébrés aquatiques, préparés ou conservés")</f>
        <v xml:space="preserve">   Mollusques et autres invertébrés aquatiques, préparés ou conservés</v>
      </c>
      <c r="C1563">
        <v>9847000</v>
      </c>
      <c r="D1563">
        <v>68700</v>
      </c>
    </row>
    <row r="1564" spans="1:4" x14ac:dyDescent="0.25">
      <c r="A1564" t="str">
        <f>T("   170191")</f>
        <v xml:space="preserve">   170191</v>
      </c>
      <c r="B1564" t="str">
        <f>T("   Sucres de canne ou de betterave, à l'état solide, additionnés d'aromatisants ou de colorants")</f>
        <v xml:space="preserve">   Sucres de canne ou de betterave, à l'état solide, additionnés d'aromatisants ou de colorants</v>
      </c>
      <c r="C1564">
        <v>21674020.603</v>
      </c>
      <c r="D1564">
        <v>85860</v>
      </c>
    </row>
    <row r="1565" spans="1:4" x14ac:dyDescent="0.25">
      <c r="A1565" t="str">
        <f>T("   170199")</f>
        <v xml:space="preserve">   170199</v>
      </c>
      <c r="B1565"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565">
        <v>683674908.00699997</v>
      </c>
      <c r="D1565">
        <v>3170803</v>
      </c>
    </row>
    <row r="1566" spans="1:4" x14ac:dyDescent="0.25">
      <c r="A1566" t="str">
        <f>T("   170219")</f>
        <v xml:space="preserve">   170219</v>
      </c>
      <c r="B1566" t="str">
        <f>T("   Lactose, à l'état solide, et sirop de lactose, sans addition d'aromatisants ou de colorants, contenant en poids &lt; 99% de lactose, exprimé en lactose anhydre calculé sur matière sèche")</f>
        <v xml:space="preserve">   Lactose, à l'état solide, et sirop de lactose, sans addition d'aromatisants ou de colorants, contenant en poids &lt; 99% de lactose, exprimé en lactose anhydre calculé sur matière sèche</v>
      </c>
      <c r="C1566">
        <v>114000000</v>
      </c>
      <c r="D1566">
        <v>852530</v>
      </c>
    </row>
    <row r="1567" spans="1:4" x14ac:dyDescent="0.25">
      <c r="A1567" t="str">
        <f>T("   170220")</f>
        <v xml:space="preserve">   170220</v>
      </c>
      <c r="B1567" t="str">
        <f>T("   Sucre d'érable, à l'état solide, et sirop d'érable, sans addition d'aromatisants ou de colorants")</f>
        <v xml:space="preserve">   Sucre d'érable, à l'état solide, et sirop d'érable, sans addition d'aromatisants ou de colorants</v>
      </c>
      <c r="C1567">
        <v>9000000</v>
      </c>
      <c r="D1567">
        <v>67150</v>
      </c>
    </row>
    <row r="1568" spans="1:4" x14ac:dyDescent="0.25">
      <c r="A1568" t="str">
        <f>T("   170410")</f>
        <v xml:space="preserve">   170410</v>
      </c>
      <c r="B1568" t="str">
        <f>T("   Gommes à mâcher [chewing-gum], même enrobées de sucre")</f>
        <v xml:space="preserve">   Gommes à mâcher [chewing-gum], même enrobées de sucre</v>
      </c>
      <c r="C1568">
        <v>275537075</v>
      </c>
      <c r="D1568">
        <v>813054.34</v>
      </c>
    </row>
    <row r="1569" spans="1:4" x14ac:dyDescent="0.25">
      <c r="A1569" t="str">
        <f>T("   170490")</f>
        <v xml:space="preserve">   170490</v>
      </c>
      <c r="B1569" t="str">
        <f>T("   Sucreries sans cacao, y.c. le chocolat blanc (à l'excl. des gommes à mâcher)")</f>
        <v xml:space="preserve">   Sucreries sans cacao, y.c. le chocolat blanc (à l'excl. des gommes à mâcher)</v>
      </c>
      <c r="C1569">
        <v>544624946</v>
      </c>
      <c r="D1569">
        <v>2331186.59</v>
      </c>
    </row>
    <row r="1570" spans="1:4" x14ac:dyDescent="0.25">
      <c r="A1570" t="str">
        <f>T("   180610")</f>
        <v xml:space="preserve">   180610</v>
      </c>
      <c r="B1570" t="str">
        <f>T("   Poudre de cacao, additionnée de sucre ou d'autres édulcorants")</f>
        <v xml:space="preserve">   Poudre de cacao, additionnée de sucre ou d'autres édulcorants</v>
      </c>
      <c r="C1570">
        <v>185503162</v>
      </c>
      <c r="D1570">
        <v>354357</v>
      </c>
    </row>
    <row r="1571" spans="1:4" x14ac:dyDescent="0.25">
      <c r="A1571" t="str">
        <f>T("   180690")</f>
        <v xml:space="preserve">   180690</v>
      </c>
      <c r="B1571"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1571">
        <v>24737427</v>
      </c>
      <c r="D1571">
        <v>61390</v>
      </c>
    </row>
    <row r="1572" spans="1:4" x14ac:dyDescent="0.25">
      <c r="A1572" t="str">
        <f>T("   190110")</f>
        <v xml:space="preserve">   190110</v>
      </c>
      <c r="B1572" t="s">
        <v>48</v>
      </c>
      <c r="C1572">
        <v>66123090</v>
      </c>
      <c r="D1572">
        <v>301043</v>
      </c>
    </row>
    <row r="1573" spans="1:4" x14ac:dyDescent="0.25">
      <c r="A1573" t="str">
        <f>T("   190120")</f>
        <v xml:space="preserve">   190120</v>
      </c>
      <c r="B1573" t="s">
        <v>49</v>
      </c>
      <c r="C1573">
        <v>4591720</v>
      </c>
      <c r="D1573">
        <v>10622</v>
      </c>
    </row>
    <row r="1574" spans="1:4" x14ac:dyDescent="0.25">
      <c r="A1574" t="str">
        <f>T("   190190")</f>
        <v xml:space="preserve">   190190</v>
      </c>
      <c r="B1574" t="s">
        <v>50</v>
      </c>
      <c r="C1574">
        <v>481878552</v>
      </c>
      <c r="D1574">
        <v>1081105</v>
      </c>
    </row>
    <row r="1575" spans="1:4" x14ac:dyDescent="0.25">
      <c r="A1575" t="str">
        <f>T("   190219")</f>
        <v xml:space="preserve">   190219</v>
      </c>
      <c r="B1575" t="str">
        <f>T("   PÂTES ALIMENTAIRES NON-CUITES NI FARCIES NI AUTREMENT PRÉPARÉES, NE CONTENANT PAS D'OEUFS")</f>
        <v xml:space="preserve">   PÂTES ALIMENTAIRES NON-CUITES NI FARCIES NI AUTREMENT PRÉPARÉES, NE CONTENANT PAS D'OEUFS</v>
      </c>
      <c r="C1575">
        <v>351881515</v>
      </c>
      <c r="D1575">
        <v>2421698</v>
      </c>
    </row>
    <row r="1576" spans="1:4" x14ac:dyDescent="0.25">
      <c r="A1576" t="str">
        <f>T("   190220")</f>
        <v xml:space="preserve">   190220</v>
      </c>
      <c r="B1576" t="str">
        <f>T("   Pâtes alimentaires, farcies de viande ou d'autres substances, même cuites ou autrement préparées")</f>
        <v xml:space="preserve">   Pâtes alimentaires, farcies de viande ou d'autres substances, même cuites ou autrement préparées</v>
      </c>
      <c r="C1576">
        <v>4971000</v>
      </c>
      <c r="D1576">
        <v>55620</v>
      </c>
    </row>
    <row r="1577" spans="1:4" x14ac:dyDescent="0.25">
      <c r="A1577" t="str">
        <f>T("   190230")</f>
        <v xml:space="preserve">   190230</v>
      </c>
      <c r="B1577" t="str">
        <f>T("   Pâtes alimentaires, cuites ou autrement préparées (à l'excl. des pâtes alimentaires farcies)")</f>
        <v xml:space="preserve">   Pâtes alimentaires, cuites ou autrement préparées (à l'excl. des pâtes alimentaires farcies)</v>
      </c>
      <c r="C1577">
        <v>818686715</v>
      </c>
      <c r="D1577">
        <v>4893556</v>
      </c>
    </row>
    <row r="1578" spans="1:4" x14ac:dyDescent="0.25">
      <c r="A1578" t="str">
        <f>T("   190240")</f>
        <v xml:space="preserve">   190240</v>
      </c>
      <c r="B1578" t="str">
        <f>T("   Couscous, même préparé")</f>
        <v xml:space="preserve">   Couscous, même préparé</v>
      </c>
      <c r="C1578">
        <v>13000000</v>
      </c>
      <c r="D1578">
        <v>88560</v>
      </c>
    </row>
    <row r="1579" spans="1:4" x14ac:dyDescent="0.25">
      <c r="A1579" t="str">
        <f>T("   190531")</f>
        <v xml:space="preserve">   190531</v>
      </c>
      <c r="B1579" t="str">
        <f>T("   Biscuits additionnés d'édulcorants")</f>
        <v xml:space="preserve">   Biscuits additionnés d'édulcorants</v>
      </c>
      <c r="C1579">
        <v>18600000</v>
      </c>
      <c r="D1579">
        <v>106920</v>
      </c>
    </row>
    <row r="1580" spans="1:4" x14ac:dyDescent="0.25">
      <c r="A1580" t="str">
        <f>T("   190532")</f>
        <v xml:space="preserve">   190532</v>
      </c>
      <c r="B1580" t="str">
        <f>T("   GAUFRES ET GAUFRETTES")</f>
        <v xml:space="preserve">   GAUFRES ET GAUFRETTES</v>
      </c>
      <c r="C1580">
        <v>14366120</v>
      </c>
      <c r="D1580">
        <v>23936</v>
      </c>
    </row>
    <row r="1581" spans="1:4" x14ac:dyDescent="0.25">
      <c r="A1581" t="str">
        <f>T("   190590")</f>
        <v xml:space="preserve">   190590</v>
      </c>
      <c r="B1581" t="s">
        <v>52</v>
      </c>
      <c r="C1581">
        <v>66378876</v>
      </c>
      <c r="D1581">
        <v>386392</v>
      </c>
    </row>
    <row r="1582" spans="1:4" x14ac:dyDescent="0.25">
      <c r="A1582" t="str">
        <f>T("   200190")</f>
        <v xml:space="preserve">   200190</v>
      </c>
      <c r="B1582"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1582">
        <v>5500000</v>
      </c>
      <c r="D1582">
        <v>36980</v>
      </c>
    </row>
    <row r="1583" spans="1:4" x14ac:dyDescent="0.25">
      <c r="A1583" t="str">
        <f>T("   200210")</f>
        <v xml:space="preserve">   200210</v>
      </c>
      <c r="B1583" t="str">
        <f>T("   Tomates, entières ou en morceaux, préparées ou conservées autrement qu'au vinaigre ou à l'acide acétique")</f>
        <v xml:space="preserve">   Tomates, entières ou en morceaux, préparées ou conservées autrement qu'au vinaigre ou à l'acide acétique</v>
      </c>
      <c r="C1583">
        <v>9928000</v>
      </c>
      <c r="D1583">
        <v>62740</v>
      </c>
    </row>
    <row r="1584" spans="1:4" x14ac:dyDescent="0.25">
      <c r="A1584" t="str">
        <f>T("   200290")</f>
        <v xml:space="preserve">   200290</v>
      </c>
      <c r="B1584"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584">
        <v>2239024915</v>
      </c>
      <c r="D1584">
        <v>9296869</v>
      </c>
    </row>
    <row r="1585" spans="1:4" x14ac:dyDescent="0.25">
      <c r="A1585" t="str">
        <f>T("   200520")</f>
        <v xml:space="preserve">   200520</v>
      </c>
      <c r="B1585" t="str">
        <f>T("   POMMES DE TERRE, PRÉPARÉES OU CONSERVÉES AUTREMENT QU'AU VINAIGRE OU À L'ACIDE ACÉTIQUE, NON-CONGELÉES")</f>
        <v xml:space="preserve">   POMMES DE TERRE, PRÉPARÉES OU CONSERVÉES AUTREMENT QU'AU VINAIGRE OU À L'ACIDE ACÉTIQUE, NON-CONGELÉES</v>
      </c>
      <c r="C1585">
        <v>7352539</v>
      </c>
      <c r="D1585">
        <v>2774</v>
      </c>
    </row>
    <row r="1586" spans="1:4" x14ac:dyDescent="0.25">
      <c r="A1586" t="str">
        <f>T("   200540")</f>
        <v xml:space="preserve">   200540</v>
      </c>
      <c r="B1586" t="str">
        <f>T("   Pois [Pisum sativum], préparés ou conservés autrement qu'au vinaigre ou à l'acide acétique, non congelés")</f>
        <v xml:space="preserve">   Pois [Pisum sativum], préparés ou conservés autrement qu'au vinaigre ou à l'acide acétique, non congelés</v>
      </c>
      <c r="C1586">
        <v>20235201</v>
      </c>
      <c r="D1586">
        <v>57819</v>
      </c>
    </row>
    <row r="1587" spans="1:4" x14ac:dyDescent="0.25">
      <c r="A1587" t="str">
        <f>T("   200559")</f>
        <v xml:space="preserve">   200559</v>
      </c>
      <c r="B1587"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1587">
        <v>21922464</v>
      </c>
      <c r="D1587">
        <v>94740</v>
      </c>
    </row>
    <row r="1588" spans="1:4" x14ac:dyDescent="0.25">
      <c r="A1588" t="str">
        <f>T("   200580")</f>
        <v xml:space="preserve">   200580</v>
      </c>
      <c r="B1588" t="str">
        <f>T("   Maïs doux [Zea mays var. saccharata], préparé ou conservé autrement qu'au vinaigre ou à l'acide acétique, non congelé")</f>
        <v xml:space="preserve">   Maïs doux [Zea mays var. saccharata], préparé ou conservé autrement qu'au vinaigre ou à l'acide acétique, non congelé</v>
      </c>
      <c r="C1588">
        <v>5500000</v>
      </c>
      <c r="D1588">
        <v>50460</v>
      </c>
    </row>
    <row r="1589" spans="1:4" x14ac:dyDescent="0.25">
      <c r="A1589" t="str">
        <f>T("   200590")</f>
        <v xml:space="preserve">   200590</v>
      </c>
      <c r="B1589" t="s">
        <v>53</v>
      </c>
      <c r="C1589">
        <v>968910</v>
      </c>
      <c r="D1589">
        <v>4500</v>
      </c>
    </row>
    <row r="1590" spans="1:4" x14ac:dyDescent="0.25">
      <c r="A1590" t="str">
        <f>T("   200919")</f>
        <v xml:space="preserve">   200919</v>
      </c>
      <c r="B1590"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590">
        <v>11360852</v>
      </c>
      <c r="D1590">
        <v>42673</v>
      </c>
    </row>
    <row r="1591" spans="1:4" x14ac:dyDescent="0.25">
      <c r="A1591" t="str">
        <f>T("   200939")</f>
        <v xml:space="preserve">   200939</v>
      </c>
      <c r="B1591" t="str">
        <f>T("   JUS D'AGRUMES, NON-FERMENTÉS, SANS ADDITION D'ALCOOL, AVEC OU SANS ADDITION DE SUCRE OU D'AUTRES ÉDULCORANTS, D'UNE VALEUR BRIX &gt; 20 À 20°C (À L'EXCL. DES MÉLANGES AINSI QUE DES JUS D'ORANGE, DE PAMPLEMOUSSE OU DE POMELO)")</f>
        <v xml:space="preserve">   JUS D'AGRUMES, NON-FERMENTÉS, SANS ADDITION D'ALCOOL, AVEC OU SANS ADDITION DE SUCRE OU D'AUTRES ÉDULCORANTS, D'UNE VALEUR BRIX &gt; 20 À 20°C (À L'EXCL. DES MÉLANGES AINSI QUE DES JUS D'ORANGE, DE PAMPLEMOUSSE OU DE POMELO)</v>
      </c>
      <c r="C1591">
        <v>6000000</v>
      </c>
      <c r="D1591">
        <v>38660</v>
      </c>
    </row>
    <row r="1592" spans="1:4" x14ac:dyDescent="0.25">
      <c r="A1592" t="str">
        <f>T("   200949")</f>
        <v xml:space="preserve">   200949</v>
      </c>
      <c r="B1592"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1592">
        <v>7271039</v>
      </c>
      <c r="D1592">
        <v>26091</v>
      </c>
    </row>
    <row r="1593" spans="1:4" x14ac:dyDescent="0.25">
      <c r="A1593" t="str">
        <f>T("   200980")</f>
        <v xml:space="preserve">   200980</v>
      </c>
      <c r="B1593"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593">
        <v>13057503</v>
      </c>
      <c r="D1593">
        <v>130258</v>
      </c>
    </row>
    <row r="1594" spans="1:4" x14ac:dyDescent="0.25">
      <c r="A1594" t="str">
        <f>T("   200990")</f>
        <v xml:space="preserve">   200990</v>
      </c>
      <c r="B1594"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594">
        <v>7175584</v>
      </c>
      <c r="D1594">
        <v>25506</v>
      </c>
    </row>
    <row r="1595" spans="1:4" x14ac:dyDescent="0.25">
      <c r="A1595" t="str">
        <f>T("   210111")</f>
        <v xml:space="preserve">   210111</v>
      </c>
      <c r="B1595" t="str">
        <f>T("   Extraits, essences et concentrés de café")</f>
        <v xml:space="preserve">   Extraits, essences et concentrés de café</v>
      </c>
      <c r="C1595">
        <v>955138</v>
      </c>
      <c r="D1595">
        <v>1500</v>
      </c>
    </row>
    <row r="1596" spans="1:4" x14ac:dyDescent="0.25">
      <c r="A1596" t="str">
        <f>T("   210112")</f>
        <v xml:space="preserve">   210112</v>
      </c>
      <c r="B1596" t="str">
        <f>T("   Préparations à base d'extraits, essences ou concentrés de café ou à base de café")</f>
        <v xml:space="preserve">   Préparations à base d'extraits, essences ou concentrés de café ou à base de café</v>
      </c>
      <c r="C1596">
        <v>1688596</v>
      </c>
      <c r="D1596">
        <v>1072</v>
      </c>
    </row>
    <row r="1597" spans="1:4" x14ac:dyDescent="0.25">
      <c r="A1597" t="str">
        <f>T("   210210")</f>
        <v xml:space="preserve">   210210</v>
      </c>
      <c r="B1597" t="str">
        <f>T("   Levures vivantes")</f>
        <v xml:space="preserve">   Levures vivantes</v>
      </c>
      <c r="C1597">
        <v>188000000</v>
      </c>
      <c r="D1597">
        <v>907720</v>
      </c>
    </row>
    <row r="1598" spans="1:4" x14ac:dyDescent="0.25">
      <c r="A1598" t="str">
        <f>T("   210220")</f>
        <v xml:space="preserve">   210220</v>
      </c>
      <c r="B1598" t="str">
        <f>T("   Levures mortes; autres micro-organismes monocellulaires morts (à l'excl. des micro-organismes monocellulaires conditionnés comme médicaments)")</f>
        <v xml:space="preserve">   Levures mortes; autres micro-organismes monocellulaires morts (à l'excl. des micro-organismes monocellulaires conditionnés comme médicaments)</v>
      </c>
      <c r="C1598">
        <v>16639174</v>
      </c>
      <c r="D1598">
        <v>37148</v>
      </c>
    </row>
    <row r="1599" spans="1:4" x14ac:dyDescent="0.25">
      <c r="A1599" t="str">
        <f>T("   210230")</f>
        <v xml:space="preserve">   210230</v>
      </c>
      <c r="B1599" t="str">
        <f>T("   Poudres à lever préparées")</f>
        <v xml:space="preserve">   Poudres à lever préparées</v>
      </c>
      <c r="C1599">
        <v>51634218</v>
      </c>
      <c r="D1599">
        <v>258480</v>
      </c>
    </row>
    <row r="1600" spans="1:4" x14ac:dyDescent="0.25">
      <c r="A1600" t="str">
        <f>T("   210310")</f>
        <v xml:space="preserve">   210310</v>
      </c>
      <c r="B1600" t="str">
        <f>T("   SAUCE DE SOJA")</f>
        <v xml:space="preserve">   SAUCE DE SOJA</v>
      </c>
      <c r="C1600">
        <v>93045</v>
      </c>
      <c r="D1600">
        <v>728</v>
      </c>
    </row>
    <row r="1601" spans="1:4" x14ac:dyDescent="0.25">
      <c r="A1601" t="str">
        <f>T("   210330")</f>
        <v xml:space="preserve">   210330</v>
      </c>
      <c r="B1601" t="str">
        <f>T("   Farine de moutarde et moutarde préparée")</f>
        <v xml:space="preserve">   Farine de moutarde et moutarde préparée</v>
      </c>
      <c r="C1601">
        <v>49305156</v>
      </c>
      <c r="D1601">
        <v>137138</v>
      </c>
    </row>
    <row r="1602" spans="1:4" x14ac:dyDescent="0.25">
      <c r="A1602" t="str">
        <f>T("   210390")</f>
        <v xml:space="preserve">   210390</v>
      </c>
      <c r="B1602"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602">
        <v>357129811</v>
      </c>
      <c r="D1602">
        <v>1627285</v>
      </c>
    </row>
    <row r="1603" spans="1:4" x14ac:dyDescent="0.25">
      <c r="A1603" t="str">
        <f>T("   210410")</f>
        <v xml:space="preserve">   210410</v>
      </c>
      <c r="B1603" t="str">
        <f>T("   Préparations pour soupes, potages ou bouillons; soupes, potages ou bouillons préparés")</f>
        <v xml:space="preserve">   Préparations pour soupes, potages ou bouillons; soupes, potages ou bouillons préparés</v>
      </c>
      <c r="C1603">
        <v>762568898</v>
      </c>
      <c r="D1603">
        <v>2703747</v>
      </c>
    </row>
    <row r="1604" spans="1:4" x14ac:dyDescent="0.25">
      <c r="A1604" t="str">
        <f>T("   210420")</f>
        <v xml:space="preserve">   210420</v>
      </c>
      <c r="B1604" t="s">
        <v>60</v>
      </c>
      <c r="C1604">
        <v>25570858</v>
      </c>
      <c r="D1604">
        <v>66377</v>
      </c>
    </row>
    <row r="1605" spans="1:4" x14ac:dyDescent="0.25">
      <c r="A1605" t="str">
        <f>T("   210690")</f>
        <v xml:space="preserve">   210690</v>
      </c>
      <c r="B1605" t="str">
        <f>T("   Préparations alimentaires, n.d.a.")</f>
        <v xml:space="preserve">   Préparations alimentaires, n.d.a.</v>
      </c>
      <c r="C1605">
        <v>35310010</v>
      </c>
      <c r="D1605">
        <v>77391</v>
      </c>
    </row>
    <row r="1606" spans="1:4" x14ac:dyDescent="0.25">
      <c r="A1606" t="str">
        <f>T("   220110")</f>
        <v xml:space="preserve">   220110</v>
      </c>
      <c r="B1606" t="str">
        <f>T("   Eaux minérales et eaux gazéifiées, non additionnées de sucre ou d'autres édulcorants ni aromatisées")</f>
        <v xml:space="preserve">   Eaux minérales et eaux gazéifiées, non additionnées de sucre ou d'autres édulcorants ni aromatisées</v>
      </c>
      <c r="C1606">
        <v>200368</v>
      </c>
      <c r="D1606">
        <v>670</v>
      </c>
    </row>
    <row r="1607" spans="1:4" x14ac:dyDescent="0.25">
      <c r="A1607" t="str">
        <f>T("   220210")</f>
        <v xml:space="preserve">   220210</v>
      </c>
      <c r="B1607"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607">
        <v>34963228</v>
      </c>
      <c r="D1607">
        <v>166790</v>
      </c>
    </row>
    <row r="1608" spans="1:4" x14ac:dyDescent="0.25">
      <c r="A1608" t="str">
        <f>T("   220290")</f>
        <v xml:space="preserve">   220290</v>
      </c>
      <c r="B1608" t="str">
        <f>T("   BOISSONS NON-ALCOOLIQUES (À L'EXCL. DES EAUX, DES JUS DE FRUITS OU DE LÉGUMES AINSI QUE DU LAIT)")</f>
        <v xml:space="preserve">   BOISSONS NON-ALCOOLIQUES (À L'EXCL. DES EAUX, DES JUS DE FRUITS OU DE LÉGUMES AINSI QUE DU LAIT)</v>
      </c>
      <c r="C1608">
        <v>54499950</v>
      </c>
      <c r="D1608">
        <v>249414</v>
      </c>
    </row>
    <row r="1609" spans="1:4" x14ac:dyDescent="0.25">
      <c r="A1609" t="str">
        <f>T("   220300")</f>
        <v xml:space="preserve">   220300</v>
      </c>
      <c r="B1609" t="str">
        <f>T("   Bières de malt")</f>
        <v xml:space="preserve">   Bières de malt</v>
      </c>
      <c r="C1609">
        <v>18664217</v>
      </c>
      <c r="D1609">
        <v>93880</v>
      </c>
    </row>
    <row r="1610" spans="1:4" x14ac:dyDescent="0.25">
      <c r="A1610" t="str">
        <f>T("   220410")</f>
        <v xml:space="preserve">   220410</v>
      </c>
      <c r="B1610" t="str">
        <f>T("   Vins mousseux produits à partir de raisins frais")</f>
        <v xml:space="preserve">   Vins mousseux produits à partir de raisins frais</v>
      </c>
      <c r="C1610">
        <v>13000000</v>
      </c>
      <c r="D1610">
        <v>157240</v>
      </c>
    </row>
    <row r="1611" spans="1:4" x14ac:dyDescent="0.25">
      <c r="A1611" t="str">
        <f>T("   220421")</f>
        <v xml:space="preserve">   220421</v>
      </c>
      <c r="B1611"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611">
        <v>12579751</v>
      </c>
      <c r="D1611">
        <v>65157</v>
      </c>
    </row>
    <row r="1612" spans="1:4" x14ac:dyDescent="0.25">
      <c r="A1612" t="str">
        <f>T("   220429")</f>
        <v xml:space="preserve">   220429</v>
      </c>
      <c r="B1612"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612">
        <v>9820685</v>
      </c>
      <c r="D1612">
        <v>75897</v>
      </c>
    </row>
    <row r="1613" spans="1:4" x14ac:dyDescent="0.25">
      <c r="A1613" t="str">
        <f>T("   220590")</f>
        <v xml:space="preserve">   220590</v>
      </c>
      <c r="B1613"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1613">
        <v>84500000</v>
      </c>
      <c r="D1613">
        <v>695058</v>
      </c>
    </row>
    <row r="1614" spans="1:4" x14ac:dyDescent="0.25">
      <c r="A1614" t="str">
        <f>T("   220600")</f>
        <v xml:space="preserve">   220600</v>
      </c>
      <c r="B1614" t="s">
        <v>61</v>
      </c>
      <c r="C1614">
        <v>1500000</v>
      </c>
      <c r="D1614">
        <v>8860</v>
      </c>
    </row>
    <row r="1615" spans="1:4" x14ac:dyDescent="0.25">
      <c r="A1615" t="str">
        <f>T("   220830")</f>
        <v xml:space="preserve">   220830</v>
      </c>
      <c r="B1615" t="str">
        <f>T("   Whiskies")</f>
        <v xml:space="preserve">   Whiskies</v>
      </c>
      <c r="C1615">
        <v>54155541</v>
      </c>
      <c r="D1615">
        <v>75655</v>
      </c>
    </row>
    <row r="1616" spans="1:4" x14ac:dyDescent="0.25">
      <c r="A1616" t="str">
        <f>T("   220870")</f>
        <v xml:space="preserve">   220870</v>
      </c>
      <c r="B1616" t="str">
        <f>T("   LIQUEURS")</f>
        <v xml:space="preserve">   LIQUEURS</v>
      </c>
      <c r="C1616">
        <v>15774569</v>
      </c>
      <c r="D1616">
        <v>81270</v>
      </c>
    </row>
    <row r="1617" spans="1:4" x14ac:dyDescent="0.25">
      <c r="A1617" t="str">
        <f>T("   220890")</f>
        <v xml:space="preserve">   220890</v>
      </c>
      <c r="B1617" t="s">
        <v>62</v>
      </c>
      <c r="C1617">
        <v>3000000</v>
      </c>
      <c r="D1617">
        <v>25000</v>
      </c>
    </row>
    <row r="1618" spans="1:4" x14ac:dyDescent="0.25">
      <c r="A1618" t="str">
        <f>T("   220900")</f>
        <v xml:space="preserve">   220900</v>
      </c>
      <c r="B1618" t="str">
        <f>T("   Vinaigres comestibles et succédanés de vinaigre comestibles obtenus à partir d'acide acétique")</f>
        <v xml:space="preserve">   Vinaigres comestibles et succédanés de vinaigre comestibles obtenus à partir d'acide acétique</v>
      </c>
      <c r="C1618">
        <v>2500000</v>
      </c>
      <c r="D1618">
        <v>9700</v>
      </c>
    </row>
    <row r="1619" spans="1:4" x14ac:dyDescent="0.25">
      <c r="A1619" t="str">
        <f>T("   230990")</f>
        <v xml:space="preserve">   230990</v>
      </c>
      <c r="B1619"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1619">
        <v>1199570</v>
      </c>
      <c r="D1619">
        <v>5499</v>
      </c>
    </row>
    <row r="1620" spans="1:4" x14ac:dyDescent="0.25">
      <c r="A1620" t="str">
        <f>T("   240220")</f>
        <v xml:space="preserve">   240220</v>
      </c>
      <c r="B1620" t="str">
        <f>T("   Cigarettes contenant du tabac")</f>
        <v xml:space="preserve">   Cigarettes contenant du tabac</v>
      </c>
      <c r="C1620">
        <v>43154807</v>
      </c>
      <c r="D1620">
        <v>11654</v>
      </c>
    </row>
    <row r="1621" spans="1:4" x14ac:dyDescent="0.25">
      <c r="A1621" t="str">
        <f>T("   240290")</f>
        <v xml:space="preserve">   240290</v>
      </c>
      <c r="B1621" t="str">
        <f>T("   Cigares, cigarillos et cigarettes, en succédanés du tabac")</f>
        <v xml:space="preserve">   Cigares, cigarillos et cigarettes, en succédanés du tabac</v>
      </c>
      <c r="C1621">
        <v>22513608</v>
      </c>
      <c r="D1621">
        <v>26880</v>
      </c>
    </row>
    <row r="1622" spans="1:4" x14ac:dyDescent="0.25">
      <c r="A1622" t="str">
        <f>T("   250300")</f>
        <v xml:space="preserve">   250300</v>
      </c>
      <c r="B1622" t="str">
        <f>T("   Soufres de toute espèce (à l'excl. du soufre sublimé, du soufre précipité ou du soufre colloïdal)")</f>
        <v xml:space="preserve">   Soufres de toute espèce (à l'excl. du soufre sublimé, du soufre précipité ou du soufre colloïdal)</v>
      </c>
      <c r="C1622">
        <v>37988488</v>
      </c>
      <c r="D1622">
        <v>248780</v>
      </c>
    </row>
    <row r="1623" spans="1:4" x14ac:dyDescent="0.25">
      <c r="A1623" t="str">
        <f>T("   250590")</f>
        <v xml:space="preserve">   250590</v>
      </c>
      <c r="B1623"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1623">
        <v>8589140</v>
      </c>
      <c r="D1623">
        <v>12240</v>
      </c>
    </row>
    <row r="1624" spans="1:4" x14ac:dyDescent="0.25">
      <c r="A1624" t="str">
        <f>T("   250810")</f>
        <v xml:space="preserve">   250810</v>
      </c>
      <c r="B1624" t="str">
        <f>T("   Bentonite")</f>
        <v xml:space="preserve">   Bentonite</v>
      </c>
      <c r="C1624">
        <v>892550</v>
      </c>
      <c r="D1624">
        <v>10000</v>
      </c>
    </row>
    <row r="1625" spans="1:4" x14ac:dyDescent="0.25">
      <c r="A1625" t="str">
        <f>T("   252010")</f>
        <v xml:space="preserve">   252010</v>
      </c>
      <c r="B1625" t="str">
        <f>T("   Gypse; anhydrite")</f>
        <v xml:space="preserve">   Gypse; anhydrite</v>
      </c>
      <c r="C1625">
        <v>163990</v>
      </c>
      <c r="D1625">
        <v>300</v>
      </c>
    </row>
    <row r="1626" spans="1:4" x14ac:dyDescent="0.25">
      <c r="A1626" t="str">
        <f>T("   252020")</f>
        <v xml:space="preserve">   252020</v>
      </c>
      <c r="B1626" t="str">
        <f>T("   Plâtres, même colorés ou additionnés de faibles quantités d'accélérateurs ou de retardateurs")</f>
        <v xml:space="preserve">   Plâtres, même colorés ou additionnés de faibles quantités d'accélérateurs ou de retardateurs</v>
      </c>
      <c r="C1626">
        <v>18158196</v>
      </c>
      <c r="D1626">
        <v>441800</v>
      </c>
    </row>
    <row r="1627" spans="1:4" x14ac:dyDescent="0.25">
      <c r="A1627" t="str">
        <f>T("   252210")</f>
        <v xml:space="preserve">   252210</v>
      </c>
      <c r="B1627" t="str">
        <f>T("   Chaux vive")</f>
        <v xml:space="preserve">   Chaux vive</v>
      </c>
      <c r="C1627">
        <v>78247174</v>
      </c>
      <c r="D1627">
        <v>459002</v>
      </c>
    </row>
    <row r="1628" spans="1:4" x14ac:dyDescent="0.25">
      <c r="A1628" t="str">
        <f>T("   252329")</f>
        <v xml:space="preserve">   252329</v>
      </c>
      <c r="B1628" t="str">
        <f>T("   Ciment Portland normal ou modéré (à l'excl. des ciments Portland blancs, même colorés artificiellement)")</f>
        <v xml:space="preserve">   Ciment Portland normal ou modéré (à l'excl. des ciments Portland blancs, même colorés artificiellement)</v>
      </c>
      <c r="C1628">
        <v>145252902</v>
      </c>
      <c r="D1628">
        <v>4012250</v>
      </c>
    </row>
    <row r="1629" spans="1:4" x14ac:dyDescent="0.25">
      <c r="A1629" t="str">
        <f>T("   271019")</f>
        <v xml:space="preserve">   271019</v>
      </c>
      <c r="B1629" t="str">
        <f>T("   Huiles moyennes et préparations, de pétrole ou de minéraux bitumineux, n.d.a.")</f>
        <v xml:space="preserve">   Huiles moyennes et préparations, de pétrole ou de minéraux bitumineux, n.d.a.</v>
      </c>
      <c r="C1629">
        <v>91708117</v>
      </c>
      <c r="D1629">
        <v>306055</v>
      </c>
    </row>
    <row r="1630" spans="1:4" x14ac:dyDescent="0.25">
      <c r="A1630" t="str">
        <f>T("   271490")</f>
        <v xml:space="preserve">   271490</v>
      </c>
      <c r="B1630" t="str">
        <f>T("   Bitumes et asphaltes, naturels; asphaltites et roches asphaltiques")</f>
        <v xml:space="preserve">   Bitumes et asphaltes, naturels; asphaltites et roches asphaltiques</v>
      </c>
      <c r="C1630">
        <v>1873779</v>
      </c>
      <c r="D1630">
        <v>10453</v>
      </c>
    </row>
    <row r="1631" spans="1:4" x14ac:dyDescent="0.25">
      <c r="A1631" t="str">
        <f>T("   280700")</f>
        <v xml:space="preserve">   280700</v>
      </c>
      <c r="B1631" t="str">
        <f>T("   Acide sulfurique; oléum")</f>
        <v xml:space="preserve">   Acide sulfurique; oléum</v>
      </c>
      <c r="C1631">
        <v>13512822</v>
      </c>
      <c r="D1631">
        <v>54196</v>
      </c>
    </row>
    <row r="1632" spans="1:4" x14ac:dyDescent="0.25">
      <c r="A1632" t="str">
        <f>T("   281511")</f>
        <v xml:space="preserve">   281511</v>
      </c>
      <c r="B1632" t="str">
        <f>T("   Hydroxyde de sodium [soude caustique], solide")</f>
        <v xml:space="preserve">   Hydroxyde de sodium [soude caustique], solide</v>
      </c>
      <c r="C1632">
        <v>202137013</v>
      </c>
      <c r="D1632">
        <v>1400302</v>
      </c>
    </row>
    <row r="1633" spans="1:4" x14ac:dyDescent="0.25">
      <c r="A1633" t="str">
        <f>T("   281512")</f>
        <v xml:space="preserve">   281512</v>
      </c>
      <c r="B1633" t="str">
        <f>T("   Hydroxyde de sodium en solution aqueuse [lessive de soude caustique]")</f>
        <v xml:space="preserve">   Hydroxyde de sodium en solution aqueuse [lessive de soude caustique]</v>
      </c>
      <c r="C1633">
        <v>947675</v>
      </c>
      <c r="D1633">
        <v>710</v>
      </c>
    </row>
    <row r="1634" spans="1:4" x14ac:dyDescent="0.25">
      <c r="A1634" t="str">
        <f>T("   281810")</f>
        <v xml:space="preserve">   281810</v>
      </c>
      <c r="B1634" t="str">
        <f>T("   CORINDON ARTIFICIEL, CHIMIQUEMENT DÉFINI OU NON [01/01/1988-31/12/1991: CORINDON ARTIFICIEL]")</f>
        <v xml:space="preserve">   CORINDON ARTIFICIEL, CHIMIQUEMENT DÉFINI OU NON [01/01/1988-31/12/1991: CORINDON ARTIFICIEL]</v>
      </c>
      <c r="C1634">
        <v>3625000</v>
      </c>
      <c r="D1634">
        <v>28940</v>
      </c>
    </row>
    <row r="1635" spans="1:4" x14ac:dyDescent="0.25">
      <c r="A1635" t="str">
        <f>T("   282110")</f>
        <v xml:space="preserve">   282110</v>
      </c>
      <c r="B1635" t="str">
        <f>T("   Oxydes et hydroxydes de fer")</f>
        <v xml:space="preserve">   Oxydes et hydroxydes de fer</v>
      </c>
      <c r="C1635">
        <v>27228671</v>
      </c>
      <c r="D1635">
        <v>37104</v>
      </c>
    </row>
    <row r="1636" spans="1:4" x14ac:dyDescent="0.25">
      <c r="A1636" t="str">
        <f>T("   282420")</f>
        <v xml:space="preserve">   282420</v>
      </c>
      <c r="B1636" t="str">
        <f>T("   Minium et mine orange")</f>
        <v xml:space="preserve">   Minium et mine orange</v>
      </c>
      <c r="C1636">
        <v>12604271</v>
      </c>
      <c r="D1636">
        <v>7014</v>
      </c>
    </row>
    <row r="1637" spans="1:4" x14ac:dyDescent="0.25">
      <c r="A1637" t="str">
        <f>T("   282810")</f>
        <v xml:space="preserve">   282810</v>
      </c>
      <c r="B1637" t="str">
        <f>T("   Hypochlorites de calcium, y.c. l'hypochlorite de calcium du commerce")</f>
        <v xml:space="preserve">   Hypochlorites de calcium, y.c. l'hypochlorite de calcium du commerce</v>
      </c>
      <c r="C1637">
        <v>13736662</v>
      </c>
      <c r="D1637">
        <v>14448</v>
      </c>
    </row>
    <row r="1638" spans="1:4" x14ac:dyDescent="0.25">
      <c r="A1638" t="str">
        <f>T("   282890")</f>
        <v xml:space="preserve">   282890</v>
      </c>
      <c r="B1638" t="str">
        <f>T("   Hypochlorites, chlorites et hypobromites (à l'excl. des hypochlorites de calcium)")</f>
        <v xml:space="preserve">   Hypochlorites, chlorites et hypobromites (à l'excl. des hypochlorites de calcium)</v>
      </c>
      <c r="C1638">
        <v>3000000</v>
      </c>
      <c r="D1638">
        <v>19280</v>
      </c>
    </row>
    <row r="1639" spans="1:4" x14ac:dyDescent="0.25">
      <c r="A1639" t="str">
        <f>T("   283650")</f>
        <v xml:space="preserve">   283650</v>
      </c>
      <c r="B1639" t="str">
        <f>T("   Carbonate de calcium")</f>
        <v xml:space="preserve">   Carbonate de calcium</v>
      </c>
      <c r="C1639">
        <v>505050</v>
      </c>
      <c r="D1639">
        <v>9920</v>
      </c>
    </row>
    <row r="1640" spans="1:4" x14ac:dyDescent="0.25">
      <c r="A1640" t="str">
        <f>T("   284700")</f>
        <v xml:space="preserve">   284700</v>
      </c>
      <c r="B1640" t="str">
        <f>T("   Peroxyde d'hydrogène [eau oxygénée], même solidifié avec de l'urée")</f>
        <v xml:space="preserve">   Peroxyde d'hydrogène [eau oxygénée], même solidifié avec de l'urée</v>
      </c>
      <c r="C1640">
        <v>1500000</v>
      </c>
      <c r="D1640">
        <v>9130</v>
      </c>
    </row>
    <row r="1641" spans="1:4" x14ac:dyDescent="0.25">
      <c r="A1641" t="str">
        <f>T("   284910")</f>
        <v xml:space="preserve">   284910</v>
      </c>
      <c r="B1641" t="str">
        <f>T("   Carbure de calcium, de constitution chimique définie ou non")</f>
        <v xml:space="preserve">   Carbure de calcium, de constitution chimique définie ou non</v>
      </c>
      <c r="C1641">
        <v>27345294</v>
      </c>
      <c r="D1641">
        <v>119700</v>
      </c>
    </row>
    <row r="1642" spans="1:4" x14ac:dyDescent="0.25">
      <c r="A1642" t="str">
        <f>T("   284990")</f>
        <v xml:space="preserve">   284990</v>
      </c>
      <c r="B1642" t="str">
        <f>T("   Carbures, de constitution chimique définie ou non (à l'excl. des carbures de calcium et de silicium)")</f>
        <v xml:space="preserve">   Carbures, de constitution chimique définie ou non (à l'excl. des carbures de calcium et de silicium)</v>
      </c>
      <c r="C1642">
        <v>21725579</v>
      </c>
      <c r="D1642">
        <v>14616</v>
      </c>
    </row>
    <row r="1643" spans="1:4" x14ac:dyDescent="0.25">
      <c r="A1643" t="str">
        <f>T("   290349")</f>
        <v xml:space="preserve">   290349</v>
      </c>
      <c r="B1643" t="str">
        <f>T("   Dérivés halogénés des hydrocarbures acycliques contenant au moins deux halogènes différents (à l'excl. des dérivés perhalogénés)")</f>
        <v xml:space="preserve">   Dérivés halogénés des hydrocarbures acycliques contenant au moins deux halogènes différents (à l'excl. des dérivés perhalogénés)</v>
      </c>
      <c r="C1643">
        <v>21411190</v>
      </c>
      <c r="D1643">
        <v>6706</v>
      </c>
    </row>
    <row r="1644" spans="1:4" x14ac:dyDescent="0.25">
      <c r="A1644" t="str">
        <f>T("   290949")</f>
        <v xml:space="preserve">   290949</v>
      </c>
      <c r="B1644" t="str">
        <f>T("   ÉTHERS-ALCOOLS ET LEURS DÉRIVÉS HALOGÉNÉS, SULFONÉS, NITRÉS OU NITROSÉS (À L'EXCL. DU 2,2'-OXYDIÉTHANOL [DIÉTHYLÈNE-GLYCOL] AINSI QUE DES ÉTHERS MONOALKYLIQUES DE L'ÉTHYLÈNE-GLYCOL OU DU DIÉTHYLÈNE-GLYCOL)")</f>
        <v xml:space="preserve">   ÉTHERS-ALCOOLS ET LEURS DÉRIVÉS HALOGÉNÉS, SULFONÉS, NITRÉS OU NITROSÉS (À L'EXCL. DU 2,2'-OXYDIÉTHANOL [DIÉTHYLÈNE-GLYCOL] AINSI QUE DES ÉTHERS MONOALKYLIQUES DE L'ÉTHYLÈNE-GLYCOL OU DU DIÉTHYLÈNE-GLYCOL)</v>
      </c>
      <c r="C1644">
        <v>34505000</v>
      </c>
      <c r="D1644">
        <v>18144</v>
      </c>
    </row>
    <row r="1645" spans="1:4" x14ac:dyDescent="0.25">
      <c r="A1645" t="str">
        <f>T("   291570")</f>
        <v xml:space="preserve">   291570</v>
      </c>
      <c r="B1645" t="str">
        <f>T("   Acide palmitique, acide stéarique, leurs sels et leurs esters")</f>
        <v xml:space="preserve">   Acide palmitique, acide stéarique, leurs sels et leurs esters</v>
      </c>
      <c r="C1645">
        <v>8274367</v>
      </c>
      <c r="D1645">
        <v>21042</v>
      </c>
    </row>
    <row r="1646" spans="1:4" x14ac:dyDescent="0.25">
      <c r="A1646" t="str">
        <f>T("   292242")</f>
        <v xml:space="preserve">   292242</v>
      </c>
      <c r="B1646" t="str">
        <f>T("   Acide glutamique et ses sels")</f>
        <v xml:space="preserve">   Acide glutamique et ses sels</v>
      </c>
      <c r="C1646">
        <v>12000480</v>
      </c>
      <c r="D1646">
        <v>38210</v>
      </c>
    </row>
    <row r="1647" spans="1:4" x14ac:dyDescent="0.25">
      <c r="A1647" t="str">
        <f>T("   292511")</f>
        <v xml:space="preserve">   292511</v>
      </c>
      <c r="B1647" t="str">
        <f>T("   Saccharine et ses sels")</f>
        <v xml:space="preserve">   Saccharine et ses sels</v>
      </c>
      <c r="C1647">
        <v>2561167</v>
      </c>
      <c r="D1647">
        <v>16066</v>
      </c>
    </row>
    <row r="1648" spans="1:4" x14ac:dyDescent="0.25">
      <c r="A1648" t="str">
        <f>T("   293690")</f>
        <v xml:space="preserve">   293690</v>
      </c>
      <c r="B1648" t="str">
        <f>T("   Mélanges de provitamines ou de vitamines, même en solutions quelconques, et concentrats naturels de vitamines")</f>
        <v xml:space="preserve">   Mélanges de provitamines ou de vitamines, même en solutions quelconques, et concentrats naturels de vitamines</v>
      </c>
      <c r="C1648">
        <v>9125386</v>
      </c>
      <c r="D1648">
        <v>2413</v>
      </c>
    </row>
    <row r="1649" spans="1:4" x14ac:dyDescent="0.25">
      <c r="A1649" t="str">
        <f>T("   294200")</f>
        <v xml:space="preserve">   294200</v>
      </c>
      <c r="B1649" t="str">
        <f>T("   Composés organiques de constitution chimique définie présentés isolément, n.d.a.")</f>
        <v xml:space="preserve">   Composés organiques de constitution chimique définie présentés isolément, n.d.a.</v>
      </c>
      <c r="C1649">
        <v>56132843</v>
      </c>
      <c r="D1649">
        <v>17040</v>
      </c>
    </row>
    <row r="1650" spans="1:4" x14ac:dyDescent="0.25">
      <c r="A1650" t="str">
        <f>T("   300220")</f>
        <v xml:space="preserve">   300220</v>
      </c>
      <c r="B1650" t="str">
        <f>T("   Vaccins pour la médecine humaine")</f>
        <v xml:space="preserve">   Vaccins pour la médecine humaine</v>
      </c>
      <c r="C1650">
        <v>42725</v>
      </c>
      <c r="D1650">
        <v>350</v>
      </c>
    </row>
    <row r="1651" spans="1:4" x14ac:dyDescent="0.25">
      <c r="A1651" t="str">
        <f>T("   300420")</f>
        <v xml:space="preserve">   300420</v>
      </c>
      <c r="B1651" t="s">
        <v>76</v>
      </c>
      <c r="C1651">
        <v>13762550</v>
      </c>
      <c r="D1651">
        <v>1367</v>
      </c>
    </row>
    <row r="1652" spans="1:4" x14ac:dyDescent="0.25">
      <c r="A1652" t="str">
        <f>T("   300439")</f>
        <v xml:space="preserve">   300439</v>
      </c>
      <c r="B1652" t="s">
        <v>77</v>
      </c>
      <c r="C1652">
        <v>32055193</v>
      </c>
      <c r="D1652">
        <v>43698</v>
      </c>
    </row>
    <row r="1653" spans="1:4" x14ac:dyDescent="0.25">
      <c r="A1653" t="str">
        <f>T("   300450")</f>
        <v xml:space="preserve">   300450</v>
      </c>
      <c r="B1653" t="s">
        <v>78</v>
      </c>
      <c r="C1653">
        <v>5656330</v>
      </c>
      <c r="D1653">
        <v>4240</v>
      </c>
    </row>
    <row r="1654" spans="1:4" x14ac:dyDescent="0.25">
      <c r="A1654" t="str">
        <f>T("   300490")</f>
        <v xml:space="preserve">   300490</v>
      </c>
      <c r="B1654" t="s">
        <v>79</v>
      </c>
      <c r="C1654">
        <v>299751924</v>
      </c>
      <c r="D1654">
        <v>91511</v>
      </c>
    </row>
    <row r="1655" spans="1:4" x14ac:dyDescent="0.25">
      <c r="A1655" t="str">
        <f>T("   300510")</f>
        <v xml:space="preserve">   300510</v>
      </c>
      <c r="B1655"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1655">
        <v>21012937</v>
      </c>
      <c r="D1655">
        <v>4244</v>
      </c>
    </row>
    <row r="1656" spans="1:4" x14ac:dyDescent="0.25">
      <c r="A1656" t="str">
        <f>T("   300590")</f>
        <v xml:space="preserve">   300590</v>
      </c>
      <c r="B1656" t="s">
        <v>80</v>
      </c>
      <c r="C1656">
        <v>3111600</v>
      </c>
      <c r="D1656">
        <v>6100</v>
      </c>
    </row>
    <row r="1657" spans="1:4" x14ac:dyDescent="0.25">
      <c r="A1657" t="str">
        <f>T("   300610")</f>
        <v xml:space="preserve">   300610</v>
      </c>
      <c r="B1657" t="s">
        <v>81</v>
      </c>
      <c r="C1657">
        <v>207271</v>
      </c>
      <c r="D1657">
        <v>57.72</v>
      </c>
    </row>
    <row r="1658" spans="1:4" x14ac:dyDescent="0.25">
      <c r="A1658" t="str">
        <f>T("   320419")</f>
        <v xml:space="preserve">   320419</v>
      </c>
      <c r="B1658" t="s">
        <v>88</v>
      </c>
      <c r="C1658">
        <v>33332</v>
      </c>
      <c r="D1658">
        <v>1500</v>
      </c>
    </row>
    <row r="1659" spans="1:4" x14ac:dyDescent="0.25">
      <c r="A1659" t="str">
        <f>T("   320820")</f>
        <v xml:space="preserve">   320820</v>
      </c>
      <c r="B1659" t="s">
        <v>92</v>
      </c>
      <c r="C1659">
        <v>18689473</v>
      </c>
      <c r="D1659">
        <v>26270</v>
      </c>
    </row>
    <row r="1660" spans="1:4" x14ac:dyDescent="0.25">
      <c r="A1660" t="str">
        <f>T("   320890")</f>
        <v xml:space="preserve">   320890</v>
      </c>
      <c r="B1660" t="s">
        <v>93</v>
      </c>
      <c r="C1660">
        <v>882483</v>
      </c>
      <c r="D1660">
        <v>1400</v>
      </c>
    </row>
    <row r="1661" spans="1:4" x14ac:dyDescent="0.25">
      <c r="A1661" t="str">
        <f>T("   320910")</f>
        <v xml:space="preserve">   320910</v>
      </c>
      <c r="B1661" t="str">
        <f>T("   Peintures et vernis à base de polymères acryliques ou vinyliques, dispersés ou dissous dans un milieu aqueux")</f>
        <v xml:space="preserve">   Peintures et vernis à base de polymères acryliques ou vinyliques, dispersés ou dissous dans un milieu aqueux</v>
      </c>
      <c r="C1661">
        <v>1580000</v>
      </c>
      <c r="D1661">
        <v>9500</v>
      </c>
    </row>
    <row r="1662" spans="1:4" x14ac:dyDescent="0.25">
      <c r="A1662" t="str">
        <f>T("   320990")</f>
        <v xml:space="preserve">   320990</v>
      </c>
      <c r="B1662"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1662">
        <v>7478904</v>
      </c>
      <c r="D1662">
        <v>58404</v>
      </c>
    </row>
    <row r="1663" spans="1:4" x14ac:dyDescent="0.25">
      <c r="A1663" t="str">
        <f>T("   321410")</f>
        <v xml:space="preserve">   321410</v>
      </c>
      <c r="B1663" t="str">
        <f>T("   Mastic de vitrier, ciments de résine et autres mastics; enduits utilisés en peinture")</f>
        <v xml:space="preserve">   Mastic de vitrier, ciments de résine et autres mastics; enduits utilisés en peinture</v>
      </c>
      <c r="C1663">
        <v>596791</v>
      </c>
      <c r="D1663">
        <v>198</v>
      </c>
    </row>
    <row r="1664" spans="1:4" x14ac:dyDescent="0.25">
      <c r="A1664" t="str">
        <f>T("   321490")</f>
        <v xml:space="preserve">   321490</v>
      </c>
      <c r="B1664" t="str">
        <f>T("   Enduits non réfractaires des types utilisés en maçonnerie")</f>
        <v xml:space="preserve">   Enduits non réfractaires des types utilisés en maçonnerie</v>
      </c>
      <c r="C1664">
        <v>29405922</v>
      </c>
      <c r="D1664">
        <v>119834</v>
      </c>
    </row>
    <row r="1665" spans="1:4" x14ac:dyDescent="0.25">
      <c r="A1665" t="str">
        <f>T("   321511")</f>
        <v xml:space="preserve">   321511</v>
      </c>
      <c r="B1665" t="str">
        <f>T("   Encres d'imprimerie, noires, même concentrées ou sous formes solides")</f>
        <v xml:space="preserve">   Encres d'imprimerie, noires, même concentrées ou sous formes solides</v>
      </c>
      <c r="C1665">
        <v>703412</v>
      </c>
      <c r="D1665">
        <v>580</v>
      </c>
    </row>
    <row r="1666" spans="1:4" x14ac:dyDescent="0.25">
      <c r="A1666" t="str">
        <f>T("   321519")</f>
        <v xml:space="preserve">   321519</v>
      </c>
      <c r="B1666" t="str">
        <f>T("   Encres d'imprimerie, même concentrées ou sous formes solides (à l'excl. des encres noires)")</f>
        <v xml:space="preserve">   Encres d'imprimerie, même concentrées ou sous formes solides (à l'excl. des encres noires)</v>
      </c>
      <c r="C1666">
        <v>18058414</v>
      </c>
      <c r="D1666">
        <v>27065</v>
      </c>
    </row>
    <row r="1667" spans="1:4" x14ac:dyDescent="0.25">
      <c r="A1667" t="str">
        <f>T("   321590")</f>
        <v xml:space="preserve">   321590</v>
      </c>
      <c r="B1667" t="str">
        <f>T("   Encres à écrire et à dessiner, même concentrées ou sous formes solides")</f>
        <v xml:space="preserve">   Encres à écrire et à dessiner, même concentrées ou sous formes solides</v>
      </c>
      <c r="C1667">
        <v>4120113</v>
      </c>
      <c r="D1667">
        <v>3636</v>
      </c>
    </row>
    <row r="1668" spans="1:4" x14ac:dyDescent="0.25">
      <c r="A1668" t="str">
        <f>T("   330290")</f>
        <v xml:space="preserve">   330290</v>
      </c>
      <c r="B1668" t="s">
        <v>96</v>
      </c>
      <c r="C1668">
        <v>5182334</v>
      </c>
      <c r="D1668">
        <v>17702</v>
      </c>
    </row>
    <row r="1669" spans="1:4" x14ac:dyDescent="0.25">
      <c r="A1669" t="str">
        <f>T("   330300")</f>
        <v xml:space="preserve">   330300</v>
      </c>
      <c r="B1669"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669">
        <v>33444467</v>
      </c>
      <c r="D1669">
        <v>118681</v>
      </c>
    </row>
    <row r="1670" spans="1:4" x14ac:dyDescent="0.25">
      <c r="A1670" t="str">
        <f>T("   330410")</f>
        <v xml:space="preserve">   330410</v>
      </c>
      <c r="B1670" t="str">
        <f>T("   Produits de maquillage pour les lèvres")</f>
        <v xml:space="preserve">   Produits de maquillage pour les lèvres</v>
      </c>
      <c r="C1670">
        <v>17947823</v>
      </c>
      <c r="D1670">
        <v>16406</v>
      </c>
    </row>
    <row r="1671" spans="1:4" x14ac:dyDescent="0.25">
      <c r="A1671" t="str">
        <f>T("   330430")</f>
        <v xml:space="preserve">   330430</v>
      </c>
      <c r="B1671" t="str">
        <f>T("   Préparations pour manucures ou pédicures")</f>
        <v xml:space="preserve">   Préparations pour manucures ou pédicures</v>
      </c>
      <c r="C1671">
        <v>23000000</v>
      </c>
      <c r="D1671">
        <v>66881</v>
      </c>
    </row>
    <row r="1672" spans="1:4" x14ac:dyDescent="0.25">
      <c r="A1672" t="str">
        <f>T("   330499")</f>
        <v xml:space="preserve">   330499</v>
      </c>
      <c r="B1672" t="s">
        <v>97</v>
      </c>
      <c r="C1672">
        <v>481557957</v>
      </c>
      <c r="D1672">
        <v>1916785</v>
      </c>
    </row>
    <row r="1673" spans="1:4" x14ac:dyDescent="0.25">
      <c r="A1673" t="str">
        <f>T("   330510")</f>
        <v xml:space="preserve">   330510</v>
      </c>
      <c r="B1673" t="str">
        <f>T("   Shampooings")</f>
        <v xml:space="preserve">   Shampooings</v>
      </c>
      <c r="C1673">
        <v>7500246</v>
      </c>
      <c r="D1673">
        <v>20845</v>
      </c>
    </row>
    <row r="1674" spans="1:4" x14ac:dyDescent="0.25">
      <c r="A1674" t="str">
        <f>T("   330520")</f>
        <v xml:space="preserve">   330520</v>
      </c>
      <c r="B1674" t="str">
        <f>T("   Préparations pour l'ondulation ou le défrisage permanents")</f>
        <v xml:space="preserve">   Préparations pour l'ondulation ou le défrisage permanents</v>
      </c>
      <c r="C1674">
        <v>2000000</v>
      </c>
      <c r="D1674">
        <v>5030</v>
      </c>
    </row>
    <row r="1675" spans="1:4" x14ac:dyDescent="0.25">
      <c r="A1675" t="str">
        <f>T("   330530")</f>
        <v xml:space="preserve">   330530</v>
      </c>
      <c r="B1675" t="str">
        <f>T("   Laques pour cheveux")</f>
        <v xml:space="preserve">   Laques pour cheveux</v>
      </c>
      <c r="C1675">
        <v>25872685</v>
      </c>
      <c r="D1675">
        <v>13100</v>
      </c>
    </row>
    <row r="1676" spans="1:4" x14ac:dyDescent="0.25">
      <c r="A1676" t="str">
        <f>T("   330590")</f>
        <v xml:space="preserve">   330590</v>
      </c>
      <c r="B1676"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676">
        <v>15158264</v>
      </c>
      <c r="D1676">
        <v>55309</v>
      </c>
    </row>
    <row r="1677" spans="1:4" x14ac:dyDescent="0.25">
      <c r="A1677" t="str">
        <f>T("   330610")</f>
        <v xml:space="preserve">   330610</v>
      </c>
      <c r="B1677" t="str">
        <f>T("   Dentifrices, préparés, même des types utilisés par les dentistes")</f>
        <v xml:space="preserve">   Dentifrices, préparés, même des types utilisés par les dentistes</v>
      </c>
      <c r="C1677">
        <v>123093051</v>
      </c>
      <c r="D1677">
        <v>648011</v>
      </c>
    </row>
    <row r="1678" spans="1:4" x14ac:dyDescent="0.25">
      <c r="A1678" t="str">
        <f>T("   330690")</f>
        <v xml:space="preserve">   330690</v>
      </c>
      <c r="B1678"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1678">
        <v>3000000</v>
      </c>
      <c r="D1678">
        <v>13620</v>
      </c>
    </row>
    <row r="1679" spans="1:4" x14ac:dyDescent="0.25">
      <c r="A1679" t="str">
        <f>T("   330720")</f>
        <v xml:space="preserve">   330720</v>
      </c>
      <c r="B1679" t="str">
        <f>T("   Désodorisants corporels et antisudoraux, préparés")</f>
        <v xml:space="preserve">   Désodorisants corporels et antisudoraux, préparés</v>
      </c>
      <c r="C1679">
        <v>9460784</v>
      </c>
      <c r="D1679">
        <v>35465</v>
      </c>
    </row>
    <row r="1680" spans="1:4" x14ac:dyDescent="0.25">
      <c r="A1680" t="str">
        <f>T("   330749")</f>
        <v xml:space="preserve">   330749</v>
      </c>
      <c r="B1680"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1680">
        <v>11148386</v>
      </c>
      <c r="D1680">
        <v>35662</v>
      </c>
    </row>
    <row r="1681" spans="1:4" x14ac:dyDescent="0.25">
      <c r="A1681" t="str">
        <f>T("   330790")</f>
        <v xml:space="preserve">   330790</v>
      </c>
      <c r="B1681" t="str">
        <f>T("   Dépilatoires, autres produits de parfumerie ou de toilette préparés et autres préparations cosmétiques, n.d.a.")</f>
        <v xml:space="preserve">   Dépilatoires, autres produits de parfumerie ou de toilette préparés et autres préparations cosmétiques, n.d.a.</v>
      </c>
      <c r="C1681">
        <v>815000</v>
      </c>
      <c r="D1681">
        <v>2521</v>
      </c>
    </row>
    <row r="1682" spans="1:4" x14ac:dyDescent="0.25">
      <c r="A1682" t="str">
        <f>T("   340111")</f>
        <v xml:space="preserve">   340111</v>
      </c>
      <c r="B1682" t="s">
        <v>98</v>
      </c>
      <c r="C1682">
        <v>880774034</v>
      </c>
      <c r="D1682">
        <v>4357293.5999999996</v>
      </c>
    </row>
    <row r="1683" spans="1:4" x14ac:dyDescent="0.25">
      <c r="A1683" t="str">
        <f>T("   340119")</f>
        <v xml:space="preserve">   340119</v>
      </c>
      <c r="B1683" t="s">
        <v>99</v>
      </c>
      <c r="C1683">
        <v>497594286</v>
      </c>
      <c r="D1683">
        <v>2755969</v>
      </c>
    </row>
    <row r="1684" spans="1:4" x14ac:dyDescent="0.25">
      <c r="A1684" t="str">
        <f>T("   340120")</f>
        <v xml:space="preserve">   340120</v>
      </c>
      <c r="B1684" t="str">
        <f>T("   Savons en flocons, en paillettes, en granulés ou en poudres et savons liquides ou pâteux")</f>
        <v xml:space="preserve">   Savons en flocons, en paillettes, en granulés ou en poudres et savons liquides ou pâteux</v>
      </c>
      <c r="C1684">
        <v>94480</v>
      </c>
      <c r="D1684">
        <v>400</v>
      </c>
    </row>
    <row r="1685" spans="1:4" x14ac:dyDescent="0.25">
      <c r="A1685" t="str">
        <f>T("   340130")</f>
        <v xml:space="preserve">   340130</v>
      </c>
      <c r="B1685"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1685">
        <v>2733840</v>
      </c>
      <c r="D1685">
        <v>4140</v>
      </c>
    </row>
    <row r="1686" spans="1:4" x14ac:dyDescent="0.25">
      <c r="A1686" t="str">
        <f>T("   340219")</f>
        <v xml:space="preserve">   340219</v>
      </c>
      <c r="B1686"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1686">
        <v>1225000</v>
      </c>
      <c r="D1686">
        <v>905</v>
      </c>
    </row>
    <row r="1687" spans="1:4" x14ac:dyDescent="0.25">
      <c r="A1687" t="str">
        <f>T("   340220")</f>
        <v xml:space="preserve">   340220</v>
      </c>
      <c r="B1687" t="s">
        <v>100</v>
      </c>
      <c r="C1687">
        <v>802095707</v>
      </c>
      <c r="D1687">
        <v>5644984.5</v>
      </c>
    </row>
    <row r="1688" spans="1:4" x14ac:dyDescent="0.25">
      <c r="A1688" t="str">
        <f>T("   340290")</f>
        <v xml:space="preserve">   340290</v>
      </c>
      <c r="B1688" t="s">
        <v>101</v>
      </c>
      <c r="C1688">
        <v>492290787</v>
      </c>
      <c r="D1688">
        <v>3530448</v>
      </c>
    </row>
    <row r="1689" spans="1:4" x14ac:dyDescent="0.25">
      <c r="A1689" t="str">
        <f>T("   340410")</f>
        <v xml:space="preserve">   340410</v>
      </c>
      <c r="B1689" t="str">
        <f>T("   Cires de lignite modifié chimiquement")</f>
        <v xml:space="preserve">   Cires de lignite modifié chimiquement</v>
      </c>
      <c r="C1689">
        <v>3500000</v>
      </c>
      <c r="D1689">
        <v>9340</v>
      </c>
    </row>
    <row r="1690" spans="1:4" x14ac:dyDescent="0.25">
      <c r="A1690" t="str">
        <f>T("   340490")</f>
        <v xml:space="preserve">   340490</v>
      </c>
      <c r="B1690" t="s">
        <v>104</v>
      </c>
      <c r="C1690">
        <v>5900061</v>
      </c>
      <c r="D1690">
        <v>4000</v>
      </c>
    </row>
    <row r="1691" spans="1:4" x14ac:dyDescent="0.25">
      <c r="A1691" t="str">
        <f>T("   340590")</f>
        <v xml:space="preserve">   340590</v>
      </c>
      <c r="B1691"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1691">
        <v>5402487</v>
      </c>
      <c r="D1691">
        <v>26000</v>
      </c>
    </row>
    <row r="1692" spans="1:4" x14ac:dyDescent="0.25">
      <c r="A1692" t="str">
        <f>T("   340600")</f>
        <v xml:space="preserve">   340600</v>
      </c>
      <c r="B1692" t="str">
        <f>T("   Bougies, chandelles, cierges et articles simil.")</f>
        <v xml:space="preserve">   Bougies, chandelles, cierges et articles simil.</v>
      </c>
      <c r="C1692">
        <v>127522609</v>
      </c>
      <c r="D1692">
        <v>385788</v>
      </c>
    </row>
    <row r="1693" spans="1:4" x14ac:dyDescent="0.25">
      <c r="A1693" t="str">
        <f>T("   340700")</f>
        <v xml:space="preserve">   340700</v>
      </c>
      <c r="B1693" t="s">
        <v>108</v>
      </c>
      <c r="C1693">
        <v>719189</v>
      </c>
      <c r="D1693">
        <v>604</v>
      </c>
    </row>
    <row r="1694" spans="1:4" x14ac:dyDescent="0.25">
      <c r="A1694" t="str">
        <f>T("   350520")</f>
        <v xml:space="preserve">   350520</v>
      </c>
      <c r="B1694"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1694">
        <v>373414</v>
      </c>
      <c r="D1694">
        <v>2252</v>
      </c>
    </row>
    <row r="1695" spans="1:4" x14ac:dyDescent="0.25">
      <c r="A1695" t="str">
        <f>T("   350610")</f>
        <v xml:space="preserve">   350610</v>
      </c>
      <c r="B1695"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1695">
        <v>72756800</v>
      </c>
      <c r="D1695">
        <v>106753</v>
      </c>
    </row>
    <row r="1696" spans="1:4" x14ac:dyDescent="0.25">
      <c r="A1696" t="str">
        <f>T("   350691")</f>
        <v xml:space="preserve">   350691</v>
      </c>
      <c r="B1696"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1696">
        <v>66433</v>
      </c>
      <c r="D1696">
        <v>400</v>
      </c>
    </row>
    <row r="1697" spans="1:4" x14ac:dyDescent="0.25">
      <c r="A1697" t="str">
        <f>T("   350699")</f>
        <v xml:space="preserve">   350699</v>
      </c>
      <c r="B1697" t="str">
        <f>T("   Colles et autres adhésifs préparés, n.d.a.")</f>
        <v xml:space="preserve">   Colles et autres adhésifs préparés, n.d.a.</v>
      </c>
      <c r="C1697">
        <v>1352782</v>
      </c>
      <c r="D1697">
        <v>4608</v>
      </c>
    </row>
    <row r="1698" spans="1:4" x14ac:dyDescent="0.25">
      <c r="A1698" t="str">
        <f>T("   350790")</f>
        <v xml:space="preserve">   350790</v>
      </c>
      <c r="B1698" t="str">
        <f>T("   Enzymes et enzymes préparées, n.d.a. (à l'excl. de la présure et de ses concentrats)")</f>
        <v xml:space="preserve">   Enzymes et enzymes préparées, n.d.a. (à l'excl. de la présure et de ses concentrats)</v>
      </c>
      <c r="C1698">
        <v>10292944</v>
      </c>
      <c r="D1698">
        <v>17452</v>
      </c>
    </row>
    <row r="1699" spans="1:4" x14ac:dyDescent="0.25">
      <c r="A1699" t="str">
        <f>T("   360500")</f>
        <v xml:space="preserve">   360500</v>
      </c>
      <c r="B1699" t="str">
        <f>T("   Allumettes (autres que les articles de pyrotechnie du n° 3604)")</f>
        <v xml:space="preserve">   Allumettes (autres que les articles de pyrotechnie du n° 3604)</v>
      </c>
      <c r="C1699">
        <v>137480645</v>
      </c>
      <c r="D1699">
        <v>371360</v>
      </c>
    </row>
    <row r="1700" spans="1:4" x14ac:dyDescent="0.25">
      <c r="A1700" t="str">
        <f>T("   370130")</f>
        <v xml:space="preserve">   370130</v>
      </c>
      <c r="B1700" t="str">
        <f>T("   Plaques et films plans, photographiques, sensibilisés, non impressionnés, dont la dimension d'au moins un côté &gt; 255 mm")</f>
        <v xml:space="preserve">   Plaques et films plans, photographiques, sensibilisés, non impressionnés, dont la dimension d'au moins un côté &gt; 255 mm</v>
      </c>
      <c r="C1700">
        <v>12261266</v>
      </c>
      <c r="D1700">
        <v>10933</v>
      </c>
    </row>
    <row r="1701" spans="1:4" x14ac:dyDescent="0.25">
      <c r="A1701" t="str">
        <f>T("   370254")</f>
        <v xml:space="preserve">   370254</v>
      </c>
      <c r="B1701" t="s">
        <v>112</v>
      </c>
      <c r="C1701">
        <v>1034059</v>
      </c>
      <c r="D1701">
        <v>422</v>
      </c>
    </row>
    <row r="1702" spans="1:4" x14ac:dyDescent="0.25">
      <c r="A1702" t="str">
        <f>T("   370256")</f>
        <v xml:space="preserve">   370256</v>
      </c>
      <c r="B1702" t="str">
        <f>T("   Pellicules photographiques sensibilisées, non impressionnées, perforées, en rouleaux, d'une largeur &gt; 35 mm, pour la photographie en couleurs [polychrome] (à l'excl. des produits en papier, en carton ou en matières textiles)")</f>
        <v xml:space="preserve">   Pellicules photographiques sensibilisées, non impressionnées, perforées, en rouleaux, d'une largeur &gt; 35 mm, pour la photographie en couleurs [polychrome] (à l'excl. des produits en papier, en carton ou en matières textiles)</v>
      </c>
      <c r="C1702">
        <v>3636713</v>
      </c>
      <c r="D1702">
        <v>1000</v>
      </c>
    </row>
    <row r="1703" spans="1:4" x14ac:dyDescent="0.25">
      <c r="A1703" t="str">
        <f>T("   370320")</f>
        <v xml:space="preserve">   370320</v>
      </c>
      <c r="B1703"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1703">
        <v>1583715</v>
      </c>
      <c r="D1703">
        <v>3750</v>
      </c>
    </row>
    <row r="1704" spans="1:4" x14ac:dyDescent="0.25">
      <c r="A1704" t="str">
        <f>T("   380810")</f>
        <v xml:space="preserve">   380810</v>
      </c>
      <c r="B1704"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704">
        <v>632029080</v>
      </c>
      <c r="D1704">
        <v>3573403</v>
      </c>
    </row>
    <row r="1705" spans="1:4" x14ac:dyDescent="0.25">
      <c r="A1705" t="str">
        <f>T("   380830")</f>
        <v xml:space="preserve">   380830</v>
      </c>
      <c r="B1705" t="str">
        <f>T("   Herbicides, inhibiteurs de germination et régulateurs de croissance pour plantes, présentés dans des formes ou emballages de vente au détail ou à l'état de préparations ou sous forme d'articles")</f>
        <v xml:space="preserve">   Herbicides, inhibiteurs de germination et régulateurs de croissance pour plantes, présentés dans des formes ou emballages de vente au détail ou à l'état de préparations ou sous forme d'articles</v>
      </c>
      <c r="C1705">
        <v>123314933</v>
      </c>
      <c r="D1705">
        <v>60500</v>
      </c>
    </row>
    <row r="1706" spans="1:4" x14ac:dyDescent="0.25">
      <c r="A1706" t="str">
        <f>T("   380890")</f>
        <v xml:space="preserve">   380890</v>
      </c>
      <c r="B1706"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1706">
        <v>140139686</v>
      </c>
      <c r="D1706">
        <v>373112</v>
      </c>
    </row>
    <row r="1707" spans="1:4" x14ac:dyDescent="0.25">
      <c r="A1707" t="str">
        <f>T("   380910")</f>
        <v xml:space="preserve">   380910</v>
      </c>
      <c r="B1707" t="s">
        <v>117</v>
      </c>
      <c r="C1707">
        <v>11830111</v>
      </c>
      <c r="D1707">
        <v>17760</v>
      </c>
    </row>
    <row r="1708" spans="1:4" x14ac:dyDescent="0.25">
      <c r="A1708" t="str">
        <f>T("   380991")</f>
        <v xml:space="preserve">   380991</v>
      </c>
      <c r="B1708" t="s">
        <v>118</v>
      </c>
      <c r="C1708">
        <v>73198088</v>
      </c>
      <c r="D1708">
        <v>115000</v>
      </c>
    </row>
    <row r="1709" spans="1:4" x14ac:dyDescent="0.25">
      <c r="A1709" t="str">
        <f>T("   381090")</f>
        <v xml:space="preserve">   381090</v>
      </c>
      <c r="B1709" t="s">
        <v>119</v>
      </c>
      <c r="C1709">
        <v>7984002</v>
      </c>
      <c r="D1709">
        <v>39677</v>
      </c>
    </row>
    <row r="1710" spans="1:4" x14ac:dyDescent="0.25">
      <c r="A1710" t="str">
        <f>T("   381400")</f>
        <v xml:space="preserve">   381400</v>
      </c>
      <c r="B1710"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1710">
        <v>59838011</v>
      </c>
      <c r="D1710">
        <v>280266</v>
      </c>
    </row>
    <row r="1711" spans="1:4" x14ac:dyDescent="0.25">
      <c r="A1711" t="str">
        <f>T("   382200")</f>
        <v xml:space="preserve">   382200</v>
      </c>
      <c r="B1711" t="s">
        <v>122</v>
      </c>
      <c r="C1711">
        <v>5489982</v>
      </c>
      <c r="D1711">
        <v>794</v>
      </c>
    </row>
    <row r="1712" spans="1:4" x14ac:dyDescent="0.25">
      <c r="A1712" t="str">
        <f>T("   382479")</f>
        <v xml:space="preserve">   382479</v>
      </c>
      <c r="B1712" t="str">
        <f>T("   Mélanges contenant des dérivés perhalogènes des hydrocarbures acycliques comportant au moins deux halogènes différents (sauf uniquement avec du fluor et du chlore)")</f>
        <v xml:space="preserve">   Mélanges contenant des dérivés perhalogènes des hydrocarbures acycliques comportant au moins deux halogènes différents (sauf uniquement avec du fluor et du chlore)</v>
      </c>
      <c r="C1712">
        <v>8463597</v>
      </c>
      <c r="D1712">
        <v>2765</v>
      </c>
    </row>
    <row r="1713" spans="1:4" x14ac:dyDescent="0.25">
      <c r="A1713" t="str">
        <f>T("   382490")</f>
        <v xml:space="preserve">   382490</v>
      </c>
      <c r="B1713"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713">
        <v>1906375</v>
      </c>
      <c r="D1713">
        <v>2769</v>
      </c>
    </row>
    <row r="1714" spans="1:4" x14ac:dyDescent="0.25">
      <c r="A1714" t="str">
        <f>T("   390120")</f>
        <v xml:space="preserve">   390120</v>
      </c>
      <c r="B1714" t="str">
        <f>T("   Polyéthylène d'une densité &gt;= 0,94, sous formes primaires")</f>
        <v xml:space="preserve">   Polyéthylène d'une densité &gt;= 0,94, sous formes primaires</v>
      </c>
      <c r="C1714">
        <v>9701085</v>
      </c>
      <c r="D1714">
        <v>14050</v>
      </c>
    </row>
    <row r="1715" spans="1:4" x14ac:dyDescent="0.25">
      <c r="A1715" t="str">
        <f>T("   390210")</f>
        <v xml:space="preserve">   390210</v>
      </c>
      <c r="B1715" t="str">
        <f>T("   Polypropylène, sous formes primaires")</f>
        <v xml:space="preserve">   Polypropylène, sous formes primaires</v>
      </c>
      <c r="C1715">
        <v>5434391</v>
      </c>
      <c r="D1715">
        <v>20060</v>
      </c>
    </row>
    <row r="1716" spans="1:4" x14ac:dyDescent="0.25">
      <c r="A1716" t="str">
        <f>T("   390311")</f>
        <v xml:space="preserve">   390311</v>
      </c>
      <c r="B1716" t="str">
        <f>T("   Polystyrène expansible, sous formes primaires")</f>
        <v xml:space="preserve">   Polystyrène expansible, sous formes primaires</v>
      </c>
      <c r="C1716">
        <v>4000000</v>
      </c>
      <c r="D1716">
        <v>4500</v>
      </c>
    </row>
    <row r="1717" spans="1:4" x14ac:dyDescent="0.25">
      <c r="A1717" t="str">
        <f>T("   390390")</f>
        <v xml:space="preserve">   390390</v>
      </c>
      <c r="B1717"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1717">
        <v>918435</v>
      </c>
      <c r="D1717">
        <v>2600</v>
      </c>
    </row>
    <row r="1718" spans="1:4" x14ac:dyDescent="0.25">
      <c r="A1718" t="str">
        <f>T("   390519")</f>
        <v xml:space="preserve">   390519</v>
      </c>
      <c r="B1718" t="str">
        <f>T("   Poly[acétate de vinyle], sous formes primaires (à l'excl. des produits en dispersion aqueuse)")</f>
        <v xml:space="preserve">   Poly[acétate de vinyle], sous formes primaires (à l'excl. des produits en dispersion aqueuse)</v>
      </c>
      <c r="C1718">
        <v>8828740</v>
      </c>
      <c r="D1718">
        <v>9000</v>
      </c>
    </row>
    <row r="1719" spans="1:4" x14ac:dyDescent="0.25">
      <c r="A1719" t="str">
        <f>T("   390760")</f>
        <v xml:space="preserve">   390760</v>
      </c>
      <c r="B1719" t="str">
        <f>T("   Poly[éthylène téréphtalate], sous formes primaires")</f>
        <v xml:space="preserve">   Poly[éthylène téréphtalate], sous formes primaires</v>
      </c>
      <c r="C1719">
        <v>6454448</v>
      </c>
      <c r="D1719">
        <v>20800</v>
      </c>
    </row>
    <row r="1720" spans="1:4" x14ac:dyDescent="0.25">
      <c r="A1720" t="str">
        <f>T("   391000")</f>
        <v xml:space="preserve">   391000</v>
      </c>
      <c r="B1720" t="str">
        <f>T("   Silicones sous formes primaires")</f>
        <v xml:space="preserve">   Silicones sous formes primaires</v>
      </c>
      <c r="C1720">
        <v>1493654</v>
      </c>
      <c r="D1720">
        <v>1900</v>
      </c>
    </row>
    <row r="1721" spans="1:4" x14ac:dyDescent="0.25">
      <c r="A1721" t="str">
        <f>T("   391239")</f>
        <v xml:space="preserve">   391239</v>
      </c>
      <c r="B1721" t="str">
        <f>T("   ÉTHERS DE CELLULOSE, SOUS FORMES PRIMAIRES (À L'EXCL. DE LA CARBOXYMÉTHYLCELLULOSE ET DE SES SELS)")</f>
        <v xml:space="preserve">   ÉTHERS DE CELLULOSE, SOUS FORMES PRIMAIRES (À L'EXCL. DE LA CARBOXYMÉTHYLCELLULOSE ET DE SES SELS)</v>
      </c>
      <c r="C1721">
        <v>3587445</v>
      </c>
      <c r="D1721">
        <v>1012</v>
      </c>
    </row>
    <row r="1722" spans="1:4" x14ac:dyDescent="0.25">
      <c r="A1722" t="str">
        <f>T("   391690")</f>
        <v xml:space="preserve">   391690</v>
      </c>
      <c r="B1722" t="s">
        <v>124</v>
      </c>
      <c r="C1722">
        <v>262384</v>
      </c>
      <c r="D1722">
        <v>455</v>
      </c>
    </row>
    <row r="1723" spans="1:4" x14ac:dyDescent="0.25">
      <c r="A1723" t="str">
        <f>T("   391722")</f>
        <v xml:space="preserve">   391722</v>
      </c>
      <c r="B1723" t="str">
        <f>T("   TUBES ET TUYAUX RIGIDES, EN POLYMÈRES DU PROPYLÈNE")</f>
        <v xml:space="preserve">   TUBES ET TUYAUX RIGIDES, EN POLYMÈRES DU PROPYLÈNE</v>
      </c>
      <c r="C1723">
        <v>5253000</v>
      </c>
      <c r="D1723">
        <v>13750</v>
      </c>
    </row>
    <row r="1724" spans="1:4" x14ac:dyDescent="0.25">
      <c r="A1724" t="str">
        <f>T("   391723")</f>
        <v xml:space="preserve">   391723</v>
      </c>
      <c r="B1724" t="str">
        <f>T("   TUBES ET TUYAUX RIGIDES, EN POLYMÈRES DU CHLORURE DE VINYLE")</f>
        <v xml:space="preserve">   TUBES ET TUYAUX RIGIDES, EN POLYMÈRES DU CHLORURE DE VINYLE</v>
      </c>
      <c r="C1724">
        <v>4500000</v>
      </c>
      <c r="D1724">
        <v>22580</v>
      </c>
    </row>
    <row r="1725" spans="1:4" x14ac:dyDescent="0.25">
      <c r="A1725" t="str">
        <f>T("   391729")</f>
        <v xml:space="preserve">   391729</v>
      </c>
      <c r="B1725"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1725">
        <v>4470994</v>
      </c>
      <c r="D1725">
        <v>36063</v>
      </c>
    </row>
    <row r="1726" spans="1:4" x14ac:dyDescent="0.25">
      <c r="A1726" t="str">
        <f>T("   391732")</f>
        <v xml:space="preserve">   391732</v>
      </c>
      <c r="B1726" t="str">
        <f>T("   TUBES ET TUYAUX SOUPLES, EN MATIÈRES PLASTIQUES, NON-RENFORCÉS D'AUTRES MATIÈRES NI AUTREMENT ASSOCIÉS À D'AUTRES MATIÈRES, SANS ACCESSOIRES")</f>
        <v xml:space="preserve">   TUBES ET TUYAUX SOUPLES, EN MATIÈRES PLASTIQUES, NON-RENFORCÉS D'AUTRES MATIÈRES NI AUTREMENT ASSOCIÉS À D'AUTRES MATIÈRES, SANS ACCESSOIRES</v>
      </c>
      <c r="C1726">
        <v>907889</v>
      </c>
      <c r="D1726">
        <v>3188</v>
      </c>
    </row>
    <row r="1727" spans="1:4" x14ac:dyDescent="0.25">
      <c r="A1727" t="str">
        <f>T("   391739")</f>
        <v xml:space="preserve">   391739</v>
      </c>
      <c r="B1727"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1727">
        <v>18599631</v>
      </c>
      <c r="D1727">
        <v>95712.33</v>
      </c>
    </row>
    <row r="1728" spans="1:4" x14ac:dyDescent="0.25">
      <c r="A1728" t="str">
        <f>T("   391740")</f>
        <v xml:space="preserve">   391740</v>
      </c>
      <c r="B1728" t="str">
        <f>T("   Accessoires pour tubes ou tuyaux [joints, coudes, raccords, par exemple], en matières plastiques")</f>
        <v xml:space="preserve">   Accessoires pour tubes ou tuyaux [joints, coudes, raccords, par exemple], en matières plastiques</v>
      </c>
      <c r="C1728">
        <v>35049893</v>
      </c>
      <c r="D1728">
        <v>89680</v>
      </c>
    </row>
    <row r="1729" spans="1:4" x14ac:dyDescent="0.25">
      <c r="A1729" t="str">
        <f>T("   391810")</f>
        <v xml:space="preserve">   391810</v>
      </c>
      <c r="B1729" t="s">
        <v>125</v>
      </c>
      <c r="C1729">
        <v>10097220</v>
      </c>
      <c r="D1729">
        <v>27492</v>
      </c>
    </row>
    <row r="1730" spans="1:4" x14ac:dyDescent="0.25">
      <c r="A1730" t="str">
        <f>T("   391890")</f>
        <v xml:space="preserve">   391890</v>
      </c>
      <c r="B1730" t="s">
        <v>126</v>
      </c>
      <c r="C1730">
        <v>21958859</v>
      </c>
      <c r="D1730">
        <v>113635</v>
      </c>
    </row>
    <row r="1731" spans="1:4" x14ac:dyDescent="0.25">
      <c r="A1731" t="str">
        <f>T("   391910")</f>
        <v xml:space="preserve">   391910</v>
      </c>
      <c r="B1731"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1731">
        <v>10621206</v>
      </c>
      <c r="D1731">
        <v>11423</v>
      </c>
    </row>
    <row r="1732" spans="1:4" x14ac:dyDescent="0.25">
      <c r="A1732" t="str">
        <f>T("   391990")</f>
        <v xml:space="preserve">   391990</v>
      </c>
      <c r="B1732" t="s">
        <v>127</v>
      </c>
      <c r="C1732">
        <v>45297116</v>
      </c>
      <c r="D1732">
        <v>35278</v>
      </c>
    </row>
    <row r="1733" spans="1:4" x14ac:dyDescent="0.25">
      <c r="A1733" t="str">
        <f>T("   392020")</f>
        <v xml:space="preserve">   392020</v>
      </c>
      <c r="B1733" t="s">
        <v>129</v>
      </c>
      <c r="C1733">
        <v>2814811</v>
      </c>
      <c r="D1733">
        <v>3621</v>
      </c>
    </row>
    <row r="1734" spans="1:4" x14ac:dyDescent="0.25">
      <c r="A1734" t="str">
        <f>T("   392099")</f>
        <v xml:space="preserve">   392099</v>
      </c>
      <c r="B1734" t="s">
        <v>137</v>
      </c>
      <c r="C1734">
        <v>6804542</v>
      </c>
      <c r="D1734">
        <v>16012</v>
      </c>
    </row>
    <row r="1735" spans="1:4" x14ac:dyDescent="0.25">
      <c r="A1735" t="str">
        <f>T("   392119")</f>
        <v xml:space="preserve">   392119</v>
      </c>
      <c r="B1735" t="s">
        <v>140</v>
      </c>
      <c r="C1735">
        <v>4462035</v>
      </c>
      <c r="D1735">
        <v>43434</v>
      </c>
    </row>
    <row r="1736" spans="1:4" x14ac:dyDescent="0.25">
      <c r="A1736" t="str">
        <f>T("   392190")</f>
        <v xml:space="preserve">   392190</v>
      </c>
      <c r="B1736" t="s">
        <v>141</v>
      </c>
      <c r="C1736">
        <v>17588501</v>
      </c>
      <c r="D1736">
        <v>51922</v>
      </c>
    </row>
    <row r="1737" spans="1:4" x14ac:dyDescent="0.25">
      <c r="A1737" t="str">
        <f>T("   392210")</f>
        <v xml:space="preserve">   392210</v>
      </c>
      <c r="B1737" t="str">
        <f>T("   Baignoires, douches, éviers et lavabos, en matières plastiques")</f>
        <v xml:space="preserve">   Baignoires, douches, éviers et lavabos, en matières plastiques</v>
      </c>
      <c r="C1737">
        <v>15395428</v>
      </c>
      <c r="D1737">
        <v>51648</v>
      </c>
    </row>
    <row r="1738" spans="1:4" x14ac:dyDescent="0.25">
      <c r="A1738" t="str">
        <f>T("   392220")</f>
        <v xml:space="preserve">   392220</v>
      </c>
      <c r="B1738" t="str">
        <f>T("   Sièges et couvercles de cuvettes d'aisance, en matières plastiques")</f>
        <v xml:space="preserve">   Sièges et couvercles de cuvettes d'aisance, en matières plastiques</v>
      </c>
      <c r="C1738">
        <v>13327286</v>
      </c>
      <c r="D1738">
        <v>19717</v>
      </c>
    </row>
    <row r="1739" spans="1:4" x14ac:dyDescent="0.25">
      <c r="A1739" t="str">
        <f>T("   392290")</f>
        <v xml:space="preserve">   392290</v>
      </c>
      <c r="B1739"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1739">
        <v>14462580</v>
      </c>
      <c r="D1739">
        <v>93977.5</v>
      </c>
    </row>
    <row r="1740" spans="1:4" x14ac:dyDescent="0.25">
      <c r="A1740" t="str">
        <f>T("   392310")</f>
        <v xml:space="preserve">   392310</v>
      </c>
      <c r="B1740" t="str">
        <f>T("   Boîtes, caisses, casiers et articles simil. pour le transport ou l'emballage, en matières plastiques")</f>
        <v xml:space="preserve">   Boîtes, caisses, casiers et articles simil. pour le transport ou l'emballage, en matières plastiques</v>
      </c>
      <c r="C1740">
        <v>6590759</v>
      </c>
      <c r="D1740">
        <v>34814</v>
      </c>
    </row>
    <row r="1741" spans="1:4" x14ac:dyDescent="0.25">
      <c r="A1741" t="str">
        <f>T("   392321")</f>
        <v xml:space="preserve">   392321</v>
      </c>
      <c r="B1741" t="str">
        <f>T("   Sacs, sachets, pochettes et cornets, en polymères de l'éthylène")</f>
        <v xml:space="preserve">   Sacs, sachets, pochettes et cornets, en polymères de l'éthylène</v>
      </c>
      <c r="C1741">
        <v>2013183</v>
      </c>
      <c r="D1741">
        <v>2328</v>
      </c>
    </row>
    <row r="1742" spans="1:4" x14ac:dyDescent="0.25">
      <c r="A1742" t="str">
        <f>T("   392329")</f>
        <v xml:space="preserve">   392329</v>
      </c>
      <c r="B1742" t="str">
        <f>T("   Sacs, sachets, pochettes et cornets, en matières plastiques (autres que les polymères de l'éthylène)")</f>
        <v xml:space="preserve">   Sacs, sachets, pochettes et cornets, en matières plastiques (autres que les polymères de l'éthylène)</v>
      </c>
      <c r="C1742">
        <v>423102172</v>
      </c>
      <c r="D1742">
        <v>1788095</v>
      </c>
    </row>
    <row r="1743" spans="1:4" x14ac:dyDescent="0.25">
      <c r="A1743" t="str">
        <f>T("   392330")</f>
        <v xml:space="preserve">   392330</v>
      </c>
      <c r="B1743" t="str">
        <f>T("   Bonbonnes, bouteilles, flacons et articles simil. pour le transport ou l'emballage, en matières plastiques")</f>
        <v xml:space="preserve">   Bonbonnes, bouteilles, flacons et articles simil. pour le transport ou l'emballage, en matières plastiques</v>
      </c>
      <c r="C1743">
        <v>31611216</v>
      </c>
      <c r="D1743">
        <v>17526</v>
      </c>
    </row>
    <row r="1744" spans="1:4" x14ac:dyDescent="0.25">
      <c r="A1744" t="str">
        <f>T("   392350")</f>
        <v xml:space="preserve">   392350</v>
      </c>
      <c r="B1744" t="str">
        <f>T("   Bouchons, couvercles, capsules et autres dispositifs de fermeture, en matières plastiques")</f>
        <v xml:space="preserve">   Bouchons, couvercles, capsules et autres dispositifs de fermeture, en matières plastiques</v>
      </c>
      <c r="C1744">
        <v>2400272</v>
      </c>
      <c r="D1744">
        <v>1206</v>
      </c>
    </row>
    <row r="1745" spans="1:4" x14ac:dyDescent="0.25">
      <c r="A1745" t="str">
        <f>T("   392390")</f>
        <v xml:space="preserve">   392390</v>
      </c>
      <c r="B1745" t="s">
        <v>142</v>
      </c>
      <c r="C1745">
        <v>131759622</v>
      </c>
      <c r="D1745">
        <v>760349</v>
      </c>
    </row>
    <row r="1746" spans="1:4" x14ac:dyDescent="0.25">
      <c r="A1746" t="str">
        <f>T("   392410")</f>
        <v xml:space="preserve">   392410</v>
      </c>
      <c r="B1746" t="str">
        <f>T("   Vaisselle et autres articles pour le service de la table ou de la cuisine, en matières plastiques")</f>
        <v xml:space="preserve">   Vaisselle et autres articles pour le service de la table ou de la cuisine, en matières plastiques</v>
      </c>
      <c r="C1746">
        <v>1190721304</v>
      </c>
      <c r="D1746">
        <v>3636815</v>
      </c>
    </row>
    <row r="1747" spans="1:4" x14ac:dyDescent="0.25">
      <c r="A1747" t="str">
        <f>T("   392490")</f>
        <v xml:space="preserve">   392490</v>
      </c>
      <c r="B1747" t="s">
        <v>143</v>
      </c>
      <c r="C1747">
        <v>151445126</v>
      </c>
      <c r="D1747">
        <v>484735</v>
      </c>
    </row>
    <row r="1748" spans="1:4" x14ac:dyDescent="0.25">
      <c r="A1748" t="str">
        <f>T("   392520")</f>
        <v xml:space="preserve">   392520</v>
      </c>
      <c r="B1748" t="str">
        <f>T("   Portes, fenêtres et leurs cadres, chambranles et seuils, en matières plastiques")</f>
        <v xml:space="preserve">   Portes, fenêtres et leurs cadres, chambranles et seuils, en matières plastiques</v>
      </c>
      <c r="C1748">
        <v>104774158</v>
      </c>
      <c r="D1748">
        <v>238978</v>
      </c>
    </row>
    <row r="1749" spans="1:4" x14ac:dyDescent="0.25">
      <c r="A1749" t="str">
        <f>T("   392590")</f>
        <v xml:space="preserve">   392590</v>
      </c>
      <c r="B1749" t="s">
        <v>144</v>
      </c>
      <c r="C1749">
        <v>17276076</v>
      </c>
      <c r="D1749">
        <v>26859</v>
      </c>
    </row>
    <row r="1750" spans="1:4" x14ac:dyDescent="0.25">
      <c r="A1750" t="str">
        <f>T("   392610")</f>
        <v xml:space="preserve">   392610</v>
      </c>
      <c r="B1750" t="str">
        <f>T("   Articles de bureau et articles scolaires, en matières plastiques, n.d.a.")</f>
        <v xml:space="preserve">   Articles de bureau et articles scolaires, en matières plastiques, n.d.a.</v>
      </c>
      <c r="C1750">
        <v>91780341</v>
      </c>
      <c r="D1750">
        <v>117451</v>
      </c>
    </row>
    <row r="1751" spans="1:4" x14ac:dyDescent="0.25">
      <c r="A1751" t="str">
        <f>T("   392620")</f>
        <v xml:space="preserve">   392620</v>
      </c>
      <c r="B1751"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1751">
        <v>28031581</v>
      </c>
      <c r="D1751">
        <v>88383</v>
      </c>
    </row>
    <row r="1752" spans="1:4" x14ac:dyDescent="0.25">
      <c r="A1752" t="str">
        <f>T("   392640")</f>
        <v xml:space="preserve">   392640</v>
      </c>
      <c r="B1752" t="str">
        <f>T("   Statuettes et autres objets d'ornementation, en matières plastiques")</f>
        <v xml:space="preserve">   Statuettes et autres objets d'ornementation, en matières plastiques</v>
      </c>
      <c r="C1752">
        <v>26885779</v>
      </c>
      <c r="D1752">
        <v>52775</v>
      </c>
    </row>
    <row r="1753" spans="1:4" x14ac:dyDescent="0.25">
      <c r="A1753" t="str">
        <f>T("   392690")</f>
        <v xml:space="preserve">   392690</v>
      </c>
      <c r="B1753" t="str">
        <f>T("   Ouvrages en matières plastiques et ouvrages en autres matières du n° 3901 à 3914, n.d.a.")</f>
        <v xml:space="preserve">   Ouvrages en matières plastiques et ouvrages en autres matières du n° 3901 à 3914, n.d.a.</v>
      </c>
      <c r="C1753">
        <v>198308640</v>
      </c>
      <c r="D1753">
        <v>360977</v>
      </c>
    </row>
    <row r="1754" spans="1:4" x14ac:dyDescent="0.25">
      <c r="A1754" t="str">
        <f>T("   400690")</f>
        <v xml:space="preserve">   400690</v>
      </c>
      <c r="B1754" t="s">
        <v>148</v>
      </c>
      <c r="C1754">
        <v>1000000</v>
      </c>
      <c r="D1754">
        <v>1430</v>
      </c>
    </row>
    <row r="1755" spans="1:4" x14ac:dyDescent="0.25">
      <c r="A1755" t="str">
        <f>T("   400700")</f>
        <v xml:space="preserve">   400700</v>
      </c>
      <c r="B1755" t="s">
        <v>149</v>
      </c>
      <c r="C1755">
        <v>413314</v>
      </c>
      <c r="D1755">
        <v>339</v>
      </c>
    </row>
    <row r="1756" spans="1:4" x14ac:dyDescent="0.25">
      <c r="A1756" t="str">
        <f>T("   400911")</f>
        <v xml:space="preserve">   400911</v>
      </c>
      <c r="B1756"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1756">
        <v>300073</v>
      </c>
      <c r="D1756">
        <v>800</v>
      </c>
    </row>
    <row r="1757" spans="1:4" x14ac:dyDescent="0.25">
      <c r="A1757" t="str">
        <f>T("   400942")</f>
        <v xml:space="preserve">   400942</v>
      </c>
      <c r="B1757" t="s">
        <v>150</v>
      </c>
      <c r="C1757">
        <v>1197417</v>
      </c>
      <c r="D1757">
        <v>2313</v>
      </c>
    </row>
    <row r="1758" spans="1:4" x14ac:dyDescent="0.25">
      <c r="A1758" t="str">
        <f>T("   401110")</f>
        <v xml:space="preserve">   401110</v>
      </c>
      <c r="B1758"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758">
        <v>30768421</v>
      </c>
      <c r="D1758">
        <v>26212</v>
      </c>
    </row>
    <row r="1759" spans="1:4" x14ac:dyDescent="0.25">
      <c r="A1759" t="str">
        <f>T("   401120")</f>
        <v xml:space="preserve">   401120</v>
      </c>
      <c r="B1759"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759">
        <v>785698974</v>
      </c>
      <c r="D1759">
        <v>1064666</v>
      </c>
    </row>
    <row r="1760" spans="1:4" x14ac:dyDescent="0.25">
      <c r="A1760" t="str">
        <f>T("   401140")</f>
        <v xml:space="preserve">   401140</v>
      </c>
      <c r="B1760" t="str">
        <f>T("   Pneumatiques neufs, en caoutchouc, des types utilisés pour les motocycles")</f>
        <v xml:space="preserve">   Pneumatiques neufs, en caoutchouc, des types utilisés pour les motocycles</v>
      </c>
      <c r="C1760">
        <v>34531608</v>
      </c>
      <c r="D1760">
        <v>110817</v>
      </c>
    </row>
    <row r="1761" spans="1:4" x14ac:dyDescent="0.25">
      <c r="A1761" t="str">
        <f>T("   401150")</f>
        <v xml:space="preserve">   401150</v>
      </c>
      <c r="B1761" t="str">
        <f>T("   Pneumatiques neufs, en caoutchouc, des types utilisés pour les bicyclettes")</f>
        <v xml:space="preserve">   Pneumatiques neufs, en caoutchouc, des types utilisés pour les bicyclettes</v>
      </c>
      <c r="C1761">
        <v>5000000</v>
      </c>
      <c r="D1761">
        <v>24120</v>
      </c>
    </row>
    <row r="1762" spans="1:4" x14ac:dyDescent="0.25">
      <c r="A1762" t="str">
        <f>T("   401199")</f>
        <v xml:space="preserve">   401199</v>
      </c>
      <c r="B1762" t="s">
        <v>152</v>
      </c>
      <c r="C1762">
        <v>52729</v>
      </c>
      <c r="D1762">
        <v>40</v>
      </c>
    </row>
    <row r="1763" spans="1:4" x14ac:dyDescent="0.25">
      <c r="A1763" t="str">
        <f>T("   401212")</f>
        <v xml:space="preserve">   401212</v>
      </c>
      <c r="B1763" t="str">
        <f>T("   Pneumatiques rechapés, en caoutchouc, des types utilisés pour les autobus ou camions")</f>
        <v xml:space="preserve">   Pneumatiques rechapés, en caoutchouc, des types utilisés pour les autobus ou camions</v>
      </c>
      <c r="C1763">
        <v>350283</v>
      </c>
      <c r="D1763">
        <v>500</v>
      </c>
    </row>
    <row r="1764" spans="1:4" x14ac:dyDescent="0.25">
      <c r="A1764" t="str">
        <f>T("   401219")</f>
        <v xml:space="preserve">   401219</v>
      </c>
      <c r="B1764"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1764">
        <v>66147666</v>
      </c>
      <c r="D1764">
        <v>354106</v>
      </c>
    </row>
    <row r="1765" spans="1:4" x14ac:dyDescent="0.25">
      <c r="A1765" t="str">
        <f>T("   401220")</f>
        <v xml:space="preserve">   401220</v>
      </c>
      <c r="B1765" t="str">
        <f>T("   Pneumatiques usagés, en caoutchouc")</f>
        <v xml:space="preserve">   Pneumatiques usagés, en caoutchouc</v>
      </c>
      <c r="C1765">
        <v>42108508</v>
      </c>
      <c r="D1765">
        <v>169020</v>
      </c>
    </row>
    <row r="1766" spans="1:4" x14ac:dyDescent="0.25">
      <c r="A1766" t="str">
        <f>T("   401290")</f>
        <v xml:space="preserve">   401290</v>
      </c>
      <c r="B1766" t="str">
        <f>T("   Bandages pleins ou creux [mi-pleins], bandes de roulement amovibles pour pneumatiques et flaps, en caoutchouc")</f>
        <v xml:space="preserve">   Bandages pleins ou creux [mi-pleins], bandes de roulement amovibles pour pneumatiques et flaps, en caoutchouc</v>
      </c>
      <c r="C1766">
        <v>49171244</v>
      </c>
      <c r="D1766">
        <v>9432</v>
      </c>
    </row>
    <row r="1767" spans="1:4" x14ac:dyDescent="0.25">
      <c r="A1767" t="str">
        <f>T("   401310")</f>
        <v xml:space="preserve">   401310</v>
      </c>
      <c r="B1767"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1767">
        <v>10620837</v>
      </c>
      <c r="D1767">
        <v>14552</v>
      </c>
    </row>
    <row r="1768" spans="1:4" x14ac:dyDescent="0.25">
      <c r="A1768" t="str">
        <f>T("   401320")</f>
        <v xml:space="preserve">   401320</v>
      </c>
      <c r="B1768" t="str">
        <f>T("   Chambres à air, en caoutchouc, des types utilisés pour les bicyclettes")</f>
        <v xml:space="preserve">   Chambres à air, en caoutchouc, des types utilisés pour les bicyclettes</v>
      </c>
      <c r="C1768">
        <v>3500000</v>
      </c>
      <c r="D1768">
        <v>16380</v>
      </c>
    </row>
    <row r="1769" spans="1:4" x14ac:dyDescent="0.25">
      <c r="A1769" t="str">
        <f>T("   401390")</f>
        <v xml:space="preserve">   401390</v>
      </c>
      <c r="B1769"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1769">
        <v>44749827</v>
      </c>
      <c r="D1769">
        <v>198543</v>
      </c>
    </row>
    <row r="1770" spans="1:4" x14ac:dyDescent="0.25">
      <c r="A1770" t="str">
        <f>T("   401410")</f>
        <v xml:space="preserve">   401410</v>
      </c>
      <c r="B1770" t="str">
        <f>T("   Préservatifs en caoutchouc vulcanisé non durci")</f>
        <v xml:space="preserve">   Préservatifs en caoutchouc vulcanisé non durci</v>
      </c>
      <c r="C1770">
        <v>2133108</v>
      </c>
      <c r="D1770">
        <v>122</v>
      </c>
    </row>
    <row r="1771" spans="1:4" x14ac:dyDescent="0.25">
      <c r="A1771" t="str">
        <f>T("   401519")</f>
        <v xml:space="preserve">   401519</v>
      </c>
      <c r="B1771" t="str">
        <f>T("   GANTS, MITAINES ET MOUFLES, EN CAOUTCHOUC VULCANISÉ NON-DURCI (À L'EXCL. DES GANTS POUR LA CHIRURGIE)")</f>
        <v xml:space="preserve">   GANTS, MITAINES ET MOUFLES, EN CAOUTCHOUC VULCANISÉ NON-DURCI (À L'EXCL. DES GANTS POUR LA CHIRURGIE)</v>
      </c>
      <c r="C1771">
        <v>500815</v>
      </c>
      <c r="D1771">
        <v>324</v>
      </c>
    </row>
    <row r="1772" spans="1:4" x14ac:dyDescent="0.25">
      <c r="A1772" t="str">
        <f>T("   401691")</f>
        <v xml:space="preserve">   401691</v>
      </c>
      <c r="B1772" t="s">
        <v>153</v>
      </c>
      <c r="C1772">
        <v>1500000</v>
      </c>
      <c r="D1772">
        <v>6840</v>
      </c>
    </row>
    <row r="1773" spans="1:4" x14ac:dyDescent="0.25">
      <c r="A1773" t="str">
        <f>T("   401692")</f>
        <v xml:space="preserve">   401692</v>
      </c>
      <c r="B1773" t="str">
        <f>T("   Gommes à effacer, en caoutchouc vulcanisé non durci, prêtes à l'emploi (à l'excl. des articles simplement découpés de forme carrée ou rectangulaire)")</f>
        <v xml:space="preserve">   Gommes à effacer, en caoutchouc vulcanisé non durci, prêtes à l'emploi (à l'excl. des articles simplement découpés de forme carrée ou rectangulaire)</v>
      </c>
      <c r="C1773">
        <v>5435800</v>
      </c>
      <c r="D1773">
        <v>5344</v>
      </c>
    </row>
    <row r="1774" spans="1:4" x14ac:dyDescent="0.25">
      <c r="A1774" t="str">
        <f>T("   401693")</f>
        <v xml:space="preserve">   401693</v>
      </c>
      <c r="B1774" t="str">
        <f>T("   Joints en caoutchouc vulcanisé non durci (à l'excl. des articles en caoutchouc alvéolaire)")</f>
        <v xml:space="preserve">   Joints en caoutchouc vulcanisé non durci (à l'excl. des articles en caoutchouc alvéolaire)</v>
      </c>
      <c r="C1774">
        <v>603164</v>
      </c>
      <c r="D1774">
        <v>845</v>
      </c>
    </row>
    <row r="1775" spans="1:4" x14ac:dyDescent="0.25">
      <c r="A1775" t="str">
        <f>T("   401699")</f>
        <v xml:space="preserve">   401699</v>
      </c>
      <c r="B1775" t="str">
        <f>T("   OUVRAGES EN CAOUTCHOUC VULCANISÉ NON-DURCI, N.D.A.")</f>
        <v xml:space="preserve">   OUVRAGES EN CAOUTCHOUC VULCANISÉ NON-DURCI, N.D.A.</v>
      </c>
      <c r="C1775">
        <v>7032624</v>
      </c>
      <c r="D1775">
        <v>16351</v>
      </c>
    </row>
    <row r="1776" spans="1:4" x14ac:dyDescent="0.25">
      <c r="A1776" t="str">
        <f>T("   401700")</f>
        <v xml:space="preserve">   401700</v>
      </c>
      <c r="B1776" t="str">
        <f>T("   CAOUTCHOUC DURCI [ÉBONITE, P.EX.], SOUS TOUTES FORMES, Y.C. LES DÉCHETS ET DÉBRIS; OUVRAGES EN CAOUTCHOUC DURCI, N.D.A.")</f>
        <v xml:space="preserve">   CAOUTCHOUC DURCI [ÉBONITE, P.EX.], SOUS TOUTES FORMES, Y.C. LES DÉCHETS ET DÉBRIS; OUVRAGES EN CAOUTCHOUC DURCI, N.D.A.</v>
      </c>
      <c r="C1776">
        <v>24500</v>
      </c>
      <c r="D1776">
        <v>40</v>
      </c>
    </row>
    <row r="1777" spans="1:4" x14ac:dyDescent="0.25">
      <c r="A1777" t="str">
        <f>T("   410900")</f>
        <v xml:space="preserve">   410900</v>
      </c>
      <c r="B1777" t="str">
        <f>T("   CUIRS ET PEAUX VERNIS OU PLAQUES; CUIRS ET PEAUX METALLISES (À L'EXCL. DES CUIRS RECONSTITUES, VERNIS OU METALLISES)")</f>
        <v xml:space="preserve">   CUIRS ET PEAUX VERNIS OU PLAQUES; CUIRS ET PEAUX METALLISES (À L'EXCL. DES CUIRS RECONSTITUES, VERNIS OU METALLISES)</v>
      </c>
      <c r="C1777">
        <v>903096</v>
      </c>
      <c r="D1777">
        <v>1112</v>
      </c>
    </row>
    <row r="1778" spans="1:4" x14ac:dyDescent="0.25">
      <c r="A1778" t="str">
        <f>T("   420212")</f>
        <v xml:space="preserve">   420212</v>
      </c>
      <c r="B1778"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1778">
        <v>247737171</v>
      </c>
      <c r="D1778">
        <v>338117.8</v>
      </c>
    </row>
    <row r="1779" spans="1:4" x14ac:dyDescent="0.25">
      <c r="A1779" t="str">
        <f>T("   420219")</f>
        <v xml:space="preserve">   420219</v>
      </c>
      <c r="B1779" t="s">
        <v>157</v>
      </c>
      <c r="C1779">
        <v>156353022</v>
      </c>
      <c r="D1779">
        <v>390301</v>
      </c>
    </row>
    <row r="1780" spans="1:4" x14ac:dyDescent="0.25">
      <c r="A1780" t="str">
        <f>T("   420222")</f>
        <v xml:space="preserve">   420222</v>
      </c>
      <c r="B1780"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1780">
        <v>365774778</v>
      </c>
      <c r="D1780">
        <v>798926</v>
      </c>
    </row>
    <row r="1781" spans="1:4" x14ac:dyDescent="0.25">
      <c r="A1781" t="str">
        <f>T("   420229")</f>
        <v xml:space="preserve">   420229</v>
      </c>
      <c r="B1781"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781">
        <v>490442898</v>
      </c>
      <c r="D1781">
        <v>1383657</v>
      </c>
    </row>
    <row r="1782" spans="1:4" x14ac:dyDescent="0.25">
      <c r="A1782" t="str">
        <f>T("   420232")</f>
        <v xml:space="preserve">   420232</v>
      </c>
      <c r="B1782"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1782">
        <v>39378840</v>
      </c>
      <c r="D1782">
        <v>85062</v>
      </c>
    </row>
    <row r="1783" spans="1:4" x14ac:dyDescent="0.25">
      <c r="A1783" t="str">
        <f>T("   420239")</f>
        <v xml:space="preserve">   420239</v>
      </c>
      <c r="B1783" t="s">
        <v>158</v>
      </c>
      <c r="C1783">
        <v>17070100</v>
      </c>
      <c r="D1783">
        <v>46126</v>
      </c>
    </row>
    <row r="1784" spans="1:4" x14ac:dyDescent="0.25">
      <c r="A1784" t="str">
        <f>T("   420291")</f>
        <v xml:space="preserve">   420291</v>
      </c>
      <c r="B1784" t="s">
        <v>159</v>
      </c>
      <c r="C1784">
        <v>19500000</v>
      </c>
      <c r="D1784">
        <v>89410</v>
      </c>
    </row>
    <row r="1785" spans="1:4" x14ac:dyDescent="0.25">
      <c r="A1785" t="str">
        <f>T("   420292")</f>
        <v xml:space="preserve">   420292</v>
      </c>
      <c r="B1785" t="s">
        <v>159</v>
      </c>
      <c r="C1785">
        <v>55379987</v>
      </c>
      <c r="D1785">
        <v>225865</v>
      </c>
    </row>
    <row r="1786" spans="1:4" x14ac:dyDescent="0.25">
      <c r="A1786" t="str">
        <f>T("   420299")</f>
        <v xml:space="preserve">   420299</v>
      </c>
      <c r="B1786" t="s">
        <v>160</v>
      </c>
      <c r="C1786">
        <v>175382891</v>
      </c>
      <c r="D1786">
        <v>324405</v>
      </c>
    </row>
    <row r="1787" spans="1:4" x14ac:dyDescent="0.25">
      <c r="A1787" t="str">
        <f>T("   420321")</f>
        <v xml:space="preserve">   420321</v>
      </c>
      <c r="B1787" t="str">
        <f>T("   Gants, mitaines et moufles spécialement conçus pour la pratique des sports, en cuir naturel ou reconstitué")</f>
        <v xml:space="preserve">   Gants, mitaines et moufles spécialement conçus pour la pratique des sports, en cuir naturel ou reconstitué</v>
      </c>
      <c r="C1787">
        <v>4031707</v>
      </c>
      <c r="D1787">
        <v>1769</v>
      </c>
    </row>
    <row r="1788" spans="1:4" x14ac:dyDescent="0.25">
      <c r="A1788" t="str">
        <f>T("   420329")</f>
        <v xml:space="preserve">   420329</v>
      </c>
      <c r="B1788"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1788">
        <v>130167</v>
      </c>
      <c r="D1788">
        <v>485</v>
      </c>
    </row>
    <row r="1789" spans="1:4" x14ac:dyDescent="0.25">
      <c r="A1789" t="str">
        <f>T("   420330")</f>
        <v xml:space="preserve">   420330</v>
      </c>
      <c r="B1789" t="str">
        <f>T("   Ceintures, ceinturons et baudriers, en cuir naturel ou reconstitué")</f>
        <v xml:space="preserve">   Ceintures, ceinturons et baudriers, en cuir naturel ou reconstitué</v>
      </c>
      <c r="C1789">
        <v>2255034</v>
      </c>
      <c r="D1789">
        <v>10874</v>
      </c>
    </row>
    <row r="1790" spans="1:4" x14ac:dyDescent="0.25">
      <c r="A1790" t="str">
        <f>T("   440410")</f>
        <v xml:space="preserve">   440410</v>
      </c>
      <c r="B1790" t="s">
        <v>164</v>
      </c>
      <c r="C1790">
        <v>21729</v>
      </c>
      <c r="D1790">
        <v>71</v>
      </c>
    </row>
    <row r="1791" spans="1:4" x14ac:dyDescent="0.25">
      <c r="A1791" t="str">
        <f>T("   440839")</f>
        <v xml:space="preserve">   440839</v>
      </c>
      <c r="B1791" t="s">
        <v>167</v>
      </c>
      <c r="C1791">
        <v>10546</v>
      </c>
      <c r="D1791">
        <v>100</v>
      </c>
    </row>
    <row r="1792" spans="1:4" x14ac:dyDescent="0.25">
      <c r="A1792" t="str">
        <f>T("   440890")</f>
        <v xml:space="preserve">   440890</v>
      </c>
      <c r="B1792" t="s">
        <v>167</v>
      </c>
      <c r="C1792">
        <v>719505</v>
      </c>
      <c r="D1792">
        <v>3354</v>
      </c>
    </row>
    <row r="1793" spans="1:4" x14ac:dyDescent="0.25">
      <c r="A1793" t="str">
        <f>T("   441119")</f>
        <v xml:space="preserve">   441119</v>
      </c>
      <c r="B1793" t="s">
        <v>172</v>
      </c>
      <c r="C1793">
        <v>10473850</v>
      </c>
      <c r="D1793">
        <v>57500</v>
      </c>
    </row>
    <row r="1794" spans="1:4" x14ac:dyDescent="0.25">
      <c r="A1794" t="str">
        <f>T("   441199")</f>
        <v xml:space="preserve">   441199</v>
      </c>
      <c r="B1794" t="s">
        <v>175</v>
      </c>
      <c r="C1794">
        <v>3153200</v>
      </c>
      <c r="D1794">
        <v>21820</v>
      </c>
    </row>
    <row r="1795" spans="1:4" x14ac:dyDescent="0.25">
      <c r="A1795" t="str">
        <f>T("   441213")</f>
        <v xml:space="preserve">   441213</v>
      </c>
      <c r="B1795" t="s">
        <v>176</v>
      </c>
      <c r="C1795">
        <v>36926160</v>
      </c>
      <c r="D1795">
        <v>126010</v>
      </c>
    </row>
    <row r="1796" spans="1:4" x14ac:dyDescent="0.25">
      <c r="A1796" t="str">
        <f>T("   441219")</f>
        <v xml:space="preserve">   441219</v>
      </c>
      <c r="B1796" t="s">
        <v>178</v>
      </c>
      <c r="C1796">
        <v>134480844</v>
      </c>
      <c r="D1796">
        <v>436694</v>
      </c>
    </row>
    <row r="1797" spans="1:4" x14ac:dyDescent="0.25">
      <c r="A1797" t="str">
        <f>T("   441229")</f>
        <v xml:space="preserve">   441229</v>
      </c>
      <c r="B1797" t="s">
        <v>179</v>
      </c>
      <c r="C1797">
        <v>14000000</v>
      </c>
      <c r="D1797">
        <v>60220</v>
      </c>
    </row>
    <row r="1798" spans="1:4" x14ac:dyDescent="0.25">
      <c r="A1798" t="str">
        <f>T("   441299")</f>
        <v xml:space="preserve">   441299</v>
      </c>
      <c r="B1798" t="s">
        <v>180</v>
      </c>
      <c r="C1798">
        <v>53247171</v>
      </c>
      <c r="D1798">
        <v>214768</v>
      </c>
    </row>
    <row r="1799" spans="1:4" x14ac:dyDescent="0.25">
      <c r="A1799" t="str">
        <f>T("   441400")</f>
        <v xml:space="preserve">   441400</v>
      </c>
      <c r="B1799" t="str">
        <f>T("   Cadres en bois pour tableaux, photographies, miroirs ou objets simil.")</f>
        <v xml:space="preserve">   Cadres en bois pour tableaux, photographies, miroirs ou objets simil.</v>
      </c>
      <c r="C1799">
        <v>62489680</v>
      </c>
      <c r="D1799">
        <v>184270</v>
      </c>
    </row>
    <row r="1800" spans="1:4" x14ac:dyDescent="0.25">
      <c r="A1800" t="str">
        <f>T("   441510")</f>
        <v xml:space="preserve">   441510</v>
      </c>
      <c r="B1800" t="str">
        <f>T("   Caisses, caissettes, cageots, cylindres et emballages simil., en bois; tambours [tourets] pour câbles, en bois")</f>
        <v xml:space="preserve">   Caisses, caissettes, cageots, cylindres et emballages simil., en bois; tambours [tourets] pour câbles, en bois</v>
      </c>
      <c r="C1800">
        <v>179387</v>
      </c>
      <c r="D1800">
        <v>299</v>
      </c>
    </row>
    <row r="1801" spans="1:4" x14ac:dyDescent="0.25">
      <c r="A1801" t="str">
        <f>T("   441810")</f>
        <v xml:space="preserve">   441810</v>
      </c>
      <c r="B1801" t="str">
        <f>T("   Fenêtres, portes-fenêtres et leurs cadres et chambranles, en bois")</f>
        <v xml:space="preserve">   Fenêtres, portes-fenêtres et leurs cadres et chambranles, en bois</v>
      </c>
      <c r="C1801">
        <v>1140919</v>
      </c>
      <c r="D1801">
        <v>1692</v>
      </c>
    </row>
    <row r="1802" spans="1:4" x14ac:dyDescent="0.25">
      <c r="A1802" t="str">
        <f>T("   441820")</f>
        <v xml:space="preserve">   441820</v>
      </c>
      <c r="B1802" t="str">
        <f>T("   Portes et leurs cadres, chambranles et seuils, en bois")</f>
        <v xml:space="preserve">   Portes et leurs cadres, chambranles et seuils, en bois</v>
      </c>
      <c r="C1802">
        <v>49248922</v>
      </c>
      <c r="D1802">
        <v>102915</v>
      </c>
    </row>
    <row r="1803" spans="1:4" x14ac:dyDescent="0.25">
      <c r="A1803" t="str">
        <f>T("   441850")</f>
        <v xml:space="preserve">   441850</v>
      </c>
      <c r="B1803" t="str">
        <f>T("   Bardeaux ['shingles' et 'shakes'], en bois")</f>
        <v xml:space="preserve">   Bardeaux ['shingles' et 'shakes'], en bois</v>
      </c>
      <c r="C1803">
        <v>1441731</v>
      </c>
      <c r="D1803">
        <v>249</v>
      </c>
    </row>
    <row r="1804" spans="1:4" x14ac:dyDescent="0.25">
      <c r="A1804" t="str">
        <f>T("   441890")</f>
        <v xml:space="preserve">   441890</v>
      </c>
      <c r="B1804" t="s">
        <v>182</v>
      </c>
      <c r="C1804">
        <v>2024380</v>
      </c>
      <c r="D1804">
        <v>971</v>
      </c>
    </row>
    <row r="1805" spans="1:4" x14ac:dyDescent="0.25">
      <c r="A1805" t="str">
        <f>T("   441900")</f>
        <v xml:space="preserve">   441900</v>
      </c>
      <c r="B1805" t="s">
        <v>183</v>
      </c>
      <c r="C1805">
        <v>3679471</v>
      </c>
      <c r="D1805">
        <v>4050</v>
      </c>
    </row>
    <row r="1806" spans="1:4" x14ac:dyDescent="0.25">
      <c r="A1806" t="str">
        <f>T("   442010")</f>
        <v xml:space="preserve">   442010</v>
      </c>
      <c r="B1806" t="str">
        <f>T("   Statuettes et autres objets d'ornement, en bois (autres que marquetés ou incrustés)")</f>
        <v xml:space="preserve">   Statuettes et autres objets d'ornement, en bois (autres que marquetés ou incrustés)</v>
      </c>
      <c r="C1806">
        <v>4111154</v>
      </c>
      <c r="D1806">
        <v>8418</v>
      </c>
    </row>
    <row r="1807" spans="1:4" x14ac:dyDescent="0.25">
      <c r="A1807" t="str">
        <f>T("   442090")</f>
        <v xml:space="preserve">   442090</v>
      </c>
      <c r="B1807" t="s">
        <v>184</v>
      </c>
      <c r="C1807">
        <v>881631</v>
      </c>
      <c r="D1807">
        <v>1308</v>
      </c>
    </row>
    <row r="1808" spans="1:4" x14ac:dyDescent="0.25">
      <c r="A1808" t="str">
        <f>T("   442110")</f>
        <v xml:space="preserve">   442110</v>
      </c>
      <c r="B1808" t="str">
        <f>T("   Cintres pour vêtements, en bois")</f>
        <v xml:space="preserve">   Cintres pour vêtements, en bois</v>
      </c>
      <c r="C1808">
        <v>1584036</v>
      </c>
      <c r="D1808">
        <v>9087</v>
      </c>
    </row>
    <row r="1809" spans="1:4" x14ac:dyDescent="0.25">
      <c r="A1809" t="str">
        <f>T("   442190")</f>
        <v xml:space="preserve">   442190</v>
      </c>
      <c r="B1809" t="str">
        <f>T("   Ouvrages, en bois, n.d.a.")</f>
        <v xml:space="preserve">   Ouvrages, en bois, n.d.a.</v>
      </c>
      <c r="C1809">
        <v>30634443</v>
      </c>
      <c r="D1809">
        <v>129982</v>
      </c>
    </row>
    <row r="1810" spans="1:4" x14ac:dyDescent="0.25">
      <c r="A1810" t="str">
        <f>T("   460120")</f>
        <v xml:space="preserve">   460120</v>
      </c>
      <c r="B1810" t="str">
        <f>T("   Nattes, paillassons et claies en matières à tresser végétales, tissés ou parallélisés, à plat")</f>
        <v xml:space="preserve">   Nattes, paillassons et claies en matières à tresser végétales, tissés ou parallélisés, à plat</v>
      </c>
      <c r="C1810">
        <v>5000000</v>
      </c>
      <c r="D1810">
        <v>33980</v>
      </c>
    </row>
    <row r="1811" spans="1:4" x14ac:dyDescent="0.25">
      <c r="A1811" t="str">
        <f>T("   460199")</f>
        <v xml:space="preserve">   460199</v>
      </c>
      <c r="B1811" t="str">
        <f>T("   MATIÈRES À TRESSER, TRESSES ET ARTICLES SIMIL., EN MATIÈRES À TRESSER NON-VÉGÉTALES, TISSÉS OU PARALLÉLISÉS, À PLAT (À L'EXCL. DES REVÊTEMENTS MURAUX DU N° 4814 AINSI QUE DES PARTIES DE CHAUSSURES OU DE COIFFURES)")</f>
        <v xml:space="preserve">   MATIÈRES À TRESSER, TRESSES ET ARTICLES SIMIL., EN MATIÈRES À TRESSER NON-VÉGÉTALES, TISSÉS OU PARALLÉLISÉS, À PLAT (À L'EXCL. DES REVÊTEMENTS MURAUX DU N° 4814 AINSI QUE DES PARTIES DE CHAUSSURES OU DE COIFFURES)</v>
      </c>
      <c r="C1811">
        <v>7166528</v>
      </c>
      <c r="D1811">
        <v>22600</v>
      </c>
    </row>
    <row r="1812" spans="1:4" x14ac:dyDescent="0.25">
      <c r="A1812" t="str">
        <f>T("   480210")</f>
        <v xml:space="preserve">   480210</v>
      </c>
      <c r="B1812" t="str">
        <f>T("   Papiers et cartons formés feuille à feuille [papiers à la main], de tout format et de toute forme")</f>
        <v xml:space="preserve">   Papiers et cartons formés feuille à feuille [papiers à la main], de tout format et de toute forme</v>
      </c>
      <c r="C1812">
        <v>125221</v>
      </c>
      <c r="D1812">
        <v>334</v>
      </c>
    </row>
    <row r="1813" spans="1:4" x14ac:dyDescent="0.25">
      <c r="A1813" t="str">
        <f>T("   480220")</f>
        <v xml:space="preserve">   480220</v>
      </c>
      <c r="B1813" t="str">
        <f>T("   Papiers et cartons supports pour papiers ou cartons photosensibles, sensibles à la chaleur ou électrosensibles, non couchés ni enduits, en rouleaux ou en feuilles de forme carrée ou rectangulaire, de tout format")</f>
        <v xml:space="preserve">   Papiers et cartons supports pour papiers ou cartons photosensibles, sensibles à la chaleur ou électrosensibles, non couchés ni enduits, en rouleaux ou en feuilles de forme carrée ou rectangulaire, de tout format</v>
      </c>
      <c r="C1813">
        <v>323561</v>
      </c>
      <c r="D1813">
        <v>107</v>
      </c>
    </row>
    <row r="1814" spans="1:4" x14ac:dyDescent="0.25">
      <c r="A1814" t="str">
        <f>T("   480256")</f>
        <v xml:space="preserve">   480256</v>
      </c>
      <c r="B1814" t="s">
        <v>188</v>
      </c>
      <c r="C1814">
        <v>38824733</v>
      </c>
      <c r="D1814">
        <v>100362</v>
      </c>
    </row>
    <row r="1815" spans="1:4" x14ac:dyDescent="0.25">
      <c r="A1815" t="str">
        <f>T("   480257")</f>
        <v xml:space="preserve">   480257</v>
      </c>
      <c r="B1815" t="s">
        <v>189</v>
      </c>
      <c r="C1815">
        <v>151077243</v>
      </c>
      <c r="D1815">
        <v>282074</v>
      </c>
    </row>
    <row r="1816" spans="1:4" x14ac:dyDescent="0.25">
      <c r="A1816" t="str">
        <f>T("   480258")</f>
        <v xml:space="preserve">   480258</v>
      </c>
      <c r="B1816" t="s">
        <v>190</v>
      </c>
      <c r="C1816">
        <v>19107740</v>
      </c>
      <c r="D1816">
        <v>40806</v>
      </c>
    </row>
    <row r="1817" spans="1:4" x14ac:dyDescent="0.25">
      <c r="A1817" t="str">
        <f>T("   480262")</f>
        <v xml:space="preserve">   480262</v>
      </c>
      <c r="B1817" t="s">
        <v>192</v>
      </c>
      <c r="C1817">
        <v>32040</v>
      </c>
      <c r="D1817">
        <v>560</v>
      </c>
    </row>
    <row r="1818" spans="1:4" x14ac:dyDescent="0.25">
      <c r="A1818" t="str">
        <f>T("   480269")</f>
        <v xml:space="preserve">   480269</v>
      </c>
      <c r="B1818" t="s">
        <v>189</v>
      </c>
      <c r="C1818">
        <v>27049019</v>
      </c>
      <c r="D1818">
        <v>145890</v>
      </c>
    </row>
    <row r="1819" spans="1:4" x14ac:dyDescent="0.25">
      <c r="A1819" t="str">
        <f>T("   480300")</f>
        <v xml:space="preserve">   480300</v>
      </c>
      <c r="B1819" t="s">
        <v>193</v>
      </c>
      <c r="C1819">
        <v>154495315</v>
      </c>
      <c r="D1819">
        <v>694997</v>
      </c>
    </row>
    <row r="1820" spans="1:4" x14ac:dyDescent="0.25">
      <c r="A1820" t="str">
        <f>T("   480431")</f>
        <v xml:space="preserve">   480431</v>
      </c>
      <c r="B1820" t="s">
        <v>194</v>
      </c>
      <c r="C1820">
        <v>24473297</v>
      </c>
      <c r="D1820">
        <v>49637</v>
      </c>
    </row>
    <row r="1821" spans="1:4" x14ac:dyDescent="0.25">
      <c r="A1821" t="str">
        <f>T("   480459")</f>
        <v xml:space="preserve">   480459</v>
      </c>
      <c r="B1821" t="s">
        <v>196</v>
      </c>
      <c r="C1821">
        <v>1500000</v>
      </c>
      <c r="D1821">
        <v>17890</v>
      </c>
    </row>
    <row r="1822" spans="1:4" x14ac:dyDescent="0.25">
      <c r="A1822" t="str">
        <f>T("   480910")</f>
        <v xml:space="preserve">   480910</v>
      </c>
      <c r="B1822" t="str">
        <f>T("   Papiers carbone et papiers simil., même imprimés, en rouleaux d'une largeur &gt; 36 cm ou en feuilles de forme carrée ou rectangulaire dont un côté au moins &gt; 36 cm à l'état non plié")</f>
        <v xml:space="preserve">   Papiers carbone et papiers simil., même imprimés, en rouleaux d'une largeur &gt; 36 cm ou en feuilles de forme carrée ou rectangulaire dont un côté au moins &gt; 36 cm à l'état non plié</v>
      </c>
      <c r="C1822">
        <v>9646535</v>
      </c>
      <c r="D1822">
        <v>29000</v>
      </c>
    </row>
    <row r="1823" spans="1:4" x14ac:dyDescent="0.25">
      <c r="A1823" t="str">
        <f>T("   480920")</f>
        <v xml:space="preserve">   480920</v>
      </c>
      <c r="B1823"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1823">
        <v>79539623</v>
      </c>
      <c r="D1823">
        <v>114795</v>
      </c>
    </row>
    <row r="1824" spans="1:4" x14ac:dyDescent="0.25">
      <c r="A1824" t="str">
        <f>T("   481014")</f>
        <v xml:space="preserve">   481014</v>
      </c>
      <c r="B1824" t="s">
        <v>203</v>
      </c>
      <c r="C1824">
        <v>15000000</v>
      </c>
      <c r="D1824">
        <v>190560</v>
      </c>
    </row>
    <row r="1825" spans="1:4" x14ac:dyDescent="0.25">
      <c r="A1825" t="str">
        <f>T("   481019")</f>
        <v xml:space="preserve">   481019</v>
      </c>
      <c r="B1825" t="s">
        <v>203</v>
      </c>
      <c r="C1825">
        <v>21993027</v>
      </c>
      <c r="D1825">
        <v>38624</v>
      </c>
    </row>
    <row r="1826" spans="1:4" x14ac:dyDescent="0.25">
      <c r="A1826" t="str">
        <f>T("   481029")</f>
        <v xml:space="preserve">   481029</v>
      </c>
      <c r="B1826" t="s">
        <v>204</v>
      </c>
      <c r="C1826">
        <v>2000000</v>
      </c>
      <c r="D1826">
        <v>22140</v>
      </c>
    </row>
    <row r="1827" spans="1:4" x14ac:dyDescent="0.25">
      <c r="A1827" t="str">
        <f>T("   481039")</f>
        <v xml:space="preserve">   481039</v>
      </c>
      <c r="B1827" t="s">
        <v>206</v>
      </c>
      <c r="C1827">
        <v>1000403</v>
      </c>
      <c r="D1827">
        <v>2800</v>
      </c>
    </row>
    <row r="1828" spans="1:4" x14ac:dyDescent="0.25">
      <c r="A1828" t="str">
        <f>T("   481092")</f>
        <v xml:space="preserve">   481092</v>
      </c>
      <c r="B1828" t="s">
        <v>207</v>
      </c>
      <c r="C1828">
        <v>64479818</v>
      </c>
      <c r="D1828">
        <v>138540</v>
      </c>
    </row>
    <row r="1829" spans="1:4" x14ac:dyDescent="0.25">
      <c r="A1829" t="str">
        <f>T("   481099")</f>
        <v xml:space="preserve">   481099</v>
      </c>
      <c r="B1829" t="s">
        <v>208</v>
      </c>
      <c r="C1829">
        <v>1000000</v>
      </c>
      <c r="D1829">
        <v>5700</v>
      </c>
    </row>
    <row r="1830" spans="1:4" x14ac:dyDescent="0.25">
      <c r="A1830" t="str">
        <f>T("   481141")</f>
        <v xml:space="preserve">   481141</v>
      </c>
      <c r="B1830"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1830">
        <v>2720528</v>
      </c>
      <c r="D1830">
        <v>4312</v>
      </c>
    </row>
    <row r="1831" spans="1:4" x14ac:dyDescent="0.25">
      <c r="A1831" t="str">
        <f>T("   481159")</f>
        <v xml:space="preserve">   481159</v>
      </c>
      <c r="B1831" t="s">
        <v>209</v>
      </c>
      <c r="C1831">
        <v>3981960</v>
      </c>
      <c r="D1831">
        <v>13746</v>
      </c>
    </row>
    <row r="1832" spans="1:4" x14ac:dyDescent="0.25">
      <c r="A1832" t="str">
        <f>T("   481620")</f>
        <v xml:space="preserve">   481620</v>
      </c>
      <c r="B1832" t="s">
        <v>211</v>
      </c>
      <c r="C1832">
        <v>56598640</v>
      </c>
      <c r="D1832">
        <v>69469</v>
      </c>
    </row>
    <row r="1833" spans="1:4" x14ac:dyDescent="0.25">
      <c r="A1833" t="str">
        <f>T("   481690")</f>
        <v xml:space="preserve">   481690</v>
      </c>
      <c r="B1833" t="s">
        <v>212</v>
      </c>
      <c r="C1833">
        <v>3545000</v>
      </c>
      <c r="D1833">
        <v>14170</v>
      </c>
    </row>
    <row r="1834" spans="1:4" x14ac:dyDescent="0.25">
      <c r="A1834" t="str">
        <f>T("   481810")</f>
        <v xml:space="preserve">   481810</v>
      </c>
      <c r="B1834" t="str">
        <f>T("   Papier hygiénique, en rouleaux d'une largeur &lt;= 36 cm")</f>
        <v xml:space="preserve">   Papier hygiénique, en rouleaux d'une largeur &lt;= 36 cm</v>
      </c>
      <c r="C1834">
        <v>167997546</v>
      </c>
      <c r="D1834">
        <v>368064</v>
      </c>
    </row>
    <row r="1835" spans="1:4" x14ac:dyDescent="0.25">
      <c r="A1835" t="str">
        <f>T("   481820")</f>
        <v xml:space="preserve">   481820</v>
      </c>
      <c r="B1835"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1835">
        <v>64352615</v>
      </c>
      <c r="D1835">
        <v>77484</v>
      </c>
    </row>
    <row r="1836" spans="1:4" x14ac:dyDescent="0.25">
      <c r="A1836" t="str">
        <f>T("   481830")</f>
        <v xml:space="preserve">   481830</v>
      </c>
      <c r="B1836" t="str">
        <f>T("   Nappes et serviettes de table, en pâte à papier, papier, ouate de cellulose ou nappes de fibres de cellulose")</f>
        <v xml:space="preserve">   Nappes et serviettes de table, en pâte à papier, papier, ouate de cellulose ou nappes de fibres de cellulose</v>
      </c>
      <c r="C1836">
        <v>3898290</v>
      </c>
      <c r="D1836">
        <v>12800</v>
      </c>
    </row>
    <row r="1837" spans="1:4" x14ac:dyDescent="0.25">
      <c r="A1837" t="str">
        <f>T("   481840")</f>
        <v xml:space="preserve">   481840</v>
      </c>
      <c r="B1837"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837">
        <v>121878597</v>
      </c>
      <c r="D1837">
        <v>273634</v>
      </c>
    </row>
    <row r="1838" spans="1:4" x14ac:dyDescent="0.25">
      <c r="A1838" t="str">
        <f>T("   481890")</f>
        <v xml:space="preserve">   481890</v>
      </c>
      <c r="B1838" t="s">
        <v>213</v>
      </c>
      <c r="C1838">
        <v>19414</v>
      </c>
      <c r="D1838">
        <v>27</v>
      </c>
    </row>
    <row r="1839" spans="1:4" x14ac:dyDescent="0.25">
      <c r="A1839" t="str">
        <f>T("   481910")</f>
        <v xml:space="preserve">   481910</v>
      </c>
      <c r="B1839" t="str">
        <f>T("   Boîtes et caisses en papier ou en carton ondulé")</f>
        <v xml:space="preserve">   Boîtes et caisses en papier ou en carton ondulé</v>
      </c>
      <c r="C1839">
        <v>81964623</v>
      </c>
      <c r="D1839">
        <v>294808</v>
      </c>
    </row>
    <row r="1840" spans="1:4" x14ac:dyDescent="0.25">
      <c r="A1840" t="str">
        <f>T("   481920")</f>
        <v xml:space="preserve">   481920</v>
      </c>
      <c r="B1840" t="str">
        <f>T("   Boîtes et cartonnages, pliants, en papier ou en carton non ondulé")</f>
        <v xml:space="preserve">   Boîtes et cartonnages, pliants, en papier ou en carton non ondulé</v>
      </c>
      <c r="C1840">
        <v>3431956</v>
      </c>
      <c r="D1840">
        <v>11740</v>
      </c>
    </row>
    <row r="1841" spans="1:4" x14ac:dyDescent="0.25">
      <c r="A1841" t="str">
        <f>T("   481940")</f>
        <v xml:space="preserve">   481940</v>
      </c>
      <c r="B1841"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1841">
        <v>193177</v>
      </c>
      <c r="D1841">
        <v>1623</v>
      </c>
    </row>
    <row r="1842" spans="1:4" x14ac:dyDescent="0.25">
      <c r="A1842" t="str">
        <f>T("   481950")</f>
        <v xml:space="preserve">   481950</v>
      </c>
      <c r="B1842" t="s">
        <v>214</v>
      </c>
      <c r="C1842">
        <v>13766292</v>
      </c>
      <c r="D1842">
        <v>40839</v>
      </c>
    </row>
    <row r="1843" spans="1:4" x14ac:dyDescent="0.25">
      <c r="A1843" t="str">
        <f>T("   481960")</f>
        <v xml:space="preserve">   481960</v>
      </c>
      <c r="B1843" t="str">
        <f>T("   Cartonnages de bureau, de magasin ou simil., rigides (à l'excl. des emballages)")</f>
        <v xml:space="preserve">   Cartonnages de bureau, de magasin ou simil., rigides (à l'excl. des emballages)</v>
      </c>
      <c r="C1843">
        <v>528048</v>
      </c>
      <c r="D1843">
        <v>2839</v>
      </c>
    </row>
    <row r="1844" spans="1:4" x14ac:dyDescent="0.25">
      <c r="A1844" t="str">
        <f>T("   482010")</f>
        <v xml:space="preserve">   482010</v>
      </c>
      <c r="B1844"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844">
        <v>216837893</v>
      </c>
      <c r="D1844">
        <v>368796</v>
      </c>
    </row>
    <row r="1845" spans="1:4" x14ac:dyDescent="0.25">
      <c r="A1845" t="str">
        <f>T("   482020")</f>
        <v xml:space="preserve">   482020</v>
      </c>
      <c r="B1845" t="str">
        <f>T("   Cahiers pour l'écriture, en papier ou carton")</f>
        <v xml:space="preserve">   Cahiers pour l'écriture, en papier ou carton</v>
      </c>
      <c r="C1845">
        <v>58005165</v>
      </c>
      <c r="D1845">
        <v>225910</v>
      </c>
    </row>
    <row r="1846" spans="1:4" x14ac:dyDescent="0.25">
      <c r="A1846" t="str">
        <f>T("   482030")</f>
        <v xml:space="preserve">   482030</v>
      </c>
      <c r="B1846" t="str">
        <f>T("   Classeurs, reliures (autres que les couvertures pour livres), chemises et couvertures à dossiers, en papier ou en carton")</f>
        <v xml:space="preserve">   Classeurs, reliures (autres que les couvertures pour livres), chemises et couvertures à dossiers, en papier ou en carton</v>
      </c>
      <c r="C1846">
        <v>16759155</v>
      </c>
      <c r="D1846">
        <v>30643</v>
      </c>
    </row>
    <row r="1847" spans="1:4" x14ac:dyDescent="0.25">
      <c r="A1847" t="str">
        <f>T("   482050")</f>
        <v xml:space="preserve">   482050</v>
      </c>
      <c r="B1847" t="str">
        <f>T("   Albums pour échantillonnages ou pour collections, en papier ou en carton")</f>
        <v xml:space="preserve">   Albums pour échantillonnages ou pour collections, en papier ou en carton</v>
      </c>
      <c r="C1847">
        <v>12243558</v>
      </c>
      <c r="D1847">
        <v>25519</v>
      </c>
    </row>
    <row r="1848" spans="1:4" x14ac:dyDescent="0.25">
      <c r="A1848" t="str">
        <f>T("   482090")</f>
        <v xml:space="preserve">   482090</v>
      </c>
      <c r="B1848" t="s">
        <v>215</v>
      </c>
      <c r="C1848">
        <v>6099628</v>
      </c>
      <c r="D1848">
        <v>54655</v>
      </c>
    </row>
    <row r="1849" spans="1:4" x14ac:dyDescent="0.25">
      <c r="A1849" t="str">
        <f>T("   482110")</f>
        <v xml:space="preserve">   482110</v>
      </c>
      <c r="B1849" t="str">
        <f>T("   ÉTIQUETTES DE TOUS GENRES, EN PAPIER OU EN CARTON, IMPRIMÉES")</f>
        <v xml:space="preserve">   ÉTIQUETTES DE TOUS GENRES, EN PAPIER OU EN CARTON, IMPRIMÉES</v>
      </c>
      <c r="C1849">
        <v>217630</v>
      </c>
      <c r="D1849">
        <v>3500</v>
      </c>
    </row>
    <row r="1850" spans="1:4" x14ac:dyDescent="0.25">
      <c r="A1850" t="str">
        <f>T("   482190")</f>
        <v xml:space="preserve">   482190</v>
      </c>
      <c r="B1850" t="str">
        <f>T("   ÉTIQUETTES DE TOUS GENRES, EN PAPIER OU EN CARTON, NON-IMPRIMÉES")</f>
        <v xml:space="preserve">   ÉTIQUETTES DE TOUS GENRES, EN PAPIER OU EN CARTON, NON-IMPRIMÉES</v>
      </c>
      <c r="C1850">
        <v>765685</v>
      </c>
      <c r="D1850">
        <v>1745</v>
      </c>
    </row>
    <row r="1851" spans="1:4" x14ac:dyDescent="0.25">
      <c r="A1851" t="str">
        <f>T("   482210")</f>
        <v xml:space="preserve">   482210</v>
      </c>
      <c r="B1851" t="str">
        <f>T("   Tambours, bobines, fusettes, canettes et supports simil., en pâte à papier, papier ou carton, même perforés ou durcis, des types utilisés pour l'enroulement des fils textiles")</f>
        <v xml:space="preserve">   Tambours, bobines, fusettes, canettes et supports simil., en pâte à papier, papier ou carton, même perforés ou durcis, des types utilisés pour l'enroulement des fils textiles</v>
      </c>
      <c r="C1851">
        <v>198949</v>
      </c>
      <c r="D1851">
        <v>540</v>
      </c>
    </row>
    <row r="1852" spans="1:4" x14ac:dyDescent="0.25">
      <c r="A1852" t="str">
        <f>T("   482319")</f>
        <v xml:space="preserve">   482319</v>
      </c>
      <c r="B1852" t="str">
        <f>T("   Papier gommé ou adhésif, en bandes ou en rouleaux d'une largeur &lt;= 15 cm (à l'excl. des articles auto-adhésifs)")</f>
        <v xml:space="preserve">   Papier gommé ou adhésif, en bandes ou en rouleaux d'une largeur &lt;= 15 cm (à l'excl. des articles auto-adhésifs)</v>
      </c>
      <c r="C1852">
        <v>3155082</v>
      </c>
      <c r="D1852">
        <v>2000</v>
      </c>
    </row>
    <row r="1853" spans="1:4" x14ac:dyDescent="0.25">
      <c r="A1853" t="str">
        <f>T("   482320")</f>
        <v xml:space="preserve">   482320</v>
      </c>
      <c r="B1853" t="str">
        <f>T("   Papier et carton-filtre, en bandes ou en rouleaux d'une largeur &lt;= 36 cm ou en feuilles de forme carrée ou rectangulaire dont aucun côté &gt; 36 cm à l'état non plié, ou découpés de forme autre que carrée ou rectangulaire")</f>
        <v xml:space="preserve">   Papier et carton-filtre, en bandes ou en rouleaux d'une largeur &lt;= 36 cm ou en feuilles de forme carrée ou rectangulaire dont aucun côté &gt; 36 cm à l'état non plié, ou découpés de forme autre que carrée ou rectangulaire</v>
      </c>
      <c r="C1853">
        <v>1500000</v>
      </c>
      <c r="D1853">
        <v>4260</v>
      </c>
    </row>
    <row r="1854" spans="1:4" x14ac:dyDescent="0.25">
      <c r="A1854" t="str">
        <f>T("   482360")</f>
        <v xml:space="preserve">   482360</v>
      </c>
      <c r="B1854" t="str">
        <f>T("   Plateaux, plats, assiettes, tasses, gobelets et articles simil., en papier ou en carton")</f>
        <v xml:space="preserve">   Plateaux, plats, assiettes, tasses, gobelets et articles simil., en papier ou en carton</v>
      </c>
      <c r="C1854">
        <v>1500000</v>
      </c>
      <c r="D1854">
        <v>6080</v>
      </c>
    </row>
    <row r="1855" spans="1:4" x14ac:dyDescent="0.25">
      <c r="A1855" t="str">
        <f>T("   482390")</f>
        <v xml:space="preserve">   482390</v>
      </c>
      <c r="B1855" t="s">
        <v>216</v>
      </c>
      <c r="C1855">
        <v>2152272</v>
      </c>
      <c r="D1855">
        <v>2936</v>
      </c>
    </row>
    <row r="1856" spans="1:4" x14ac:dyDescent="0.25">
      <c r="A1856" t="str">
        <f>T("   490199")</f>
        <v xml:space="preserve">   490199</v>
      </c>
      <c r="B185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856">
        <v>387794</v>
      </c>
      <c r="D1856">
        <v>375</v>
      </c>
    </row>
    <row r="1857" spans="1:4" x14ac:dyDescent="0.25">
      <c r="A1857" t="str">
        <f>T("   490300")</f>
        <v xml:space="preserve">   490300</v>
      </c>
      <c r="B1857" t="str">
        <f>T("   Albums ou livres d'images et albums à dessiner ou à colorier, pour enfants")</f>
        <v xml:space="preserve">   Albums ou livres d'images et albums à dessiner ou à colorier, pour enfants</v>
      </c>
      <c r="C1857">
        <v>4312232</v>
      </c>
      <c r="D1857">
        <v>18534</v>
      </c>
    </row>
    <row r="1858" spans="1:4" x14ac:dyDescent="0.25">
      <c r="A1858" t="str">
        <f>T("   490510")</f>
        <v xml:space="preserve">   490510</v>
      </c>
      <c r="B1858" t="str">
        <f>T("   Globes, imprimés (à l'excl. des globes en relief)")</f>
        <v xml:space="preserve">   Globes, imprimés (à l'excl. des globes en relief)</v>
      </c>
      <c r="C1858">
        <v>1214313</v>
      </c>
      <c r="D1858">
        <v>325</v>
      </c>
    </row>
    <row r="1859" spans="1:4" x14ac:dyDescent="0.25">
      <c r="A1859" t="str">
        <f>T("   490599")</f>
        <v xml:space="preserve">   490599</v>
      </c>
      <c r="B1859"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1859">
        <v>150554</v>
      </c>
      <c r="D1859">
        <v>80</v>
      </c>
    </row>
    <row r="1860" spans="1:4" x14ac:dyDescent="0.25">
      <c r="A1860" t="str">
        <f>T("   491000")</f>
        <v xml:space="preserve">   491000</v>
      </c>
      <c r="B1860" t="str">
        <f>T("   Calendriers de tous genres, imprimés, y.c. les blocs de calendriers à effeuiller")</f>
        <v xml:space="preserve">   Calendriers de tous genres, imprimés, y.c. les blocs de calendriers à effeuiller</v>
      </c>
      <c r="C1860">
        <v>12571598</v>
      </c>
      <c r="D1860">
        <v>18106</v>
      </c>
    </row>
    <row r="1861" spans="1:4" x14ac:dyDescent="0.25">
      <c r="A1861" t="str">
        <f>T("   491110")</f>
        <v xml:space="preserve">   491110</v>
      </c>
      <c r="B1861" t="str">
        <f>T("   Imprimés publicitaires, catalogues commerciaux et simil.")</f>
        <v xml:space="preserve">   Imprimés publicitaires, catalogues commerciaux et simil.</v>
      </c>
      <c r="C1861">
        <v>3596268</v>
      </c>
      <c r="D1861">
        <v>15823</v>
      </c>
    </row>
    <row r="1862" spans="1:4" x14ac:dyDescent="0.25">
      <c r="A1862" t="str">
        <f>T("   491191")</f>
        <v xml:space="preserve">   491191</v>
      </c>
      <c r="B1862" t="str">
        <f>T("   Images, gravures et photographies, n.d.a.")</f>
        <v xml:space="preserve">   Images, gravures et photographies, n.d.a.</v>
      </c>
      <c r="C1862">
        <v>7306850</v>
      </c>
      <c r="D1862">
        <v>22899</v>
      </c>
    </row>
    <row r="1863" spans="1:4" x14ac:dyDescent="0.25">
      <c r="A1863" t="str">
        <f>T("   491199")</f>
        <v xml:space="preserve">   491199</v>
      </c>
      <c r="B1863" t="str">
        <f>T("   Imprimés, n.d.a.")</f>
        <v xml:space="preserve">   Imprimés, n.d.a.</v>
      </c>
      <c r="C1863">
        <v>170045345</v>
      </c>
      <c r="D1863">
        <v>44752</v>
      </c>
    </row>
    <row r="1864" spans="1:4" x14ac:dyDescent="0.25">
      <c r="A1864" t="str">
        <f>T("   511119")</f>
        <v xml:space="preserve">   511119</v>
      </c>
      <c r="B1864" t="str">
        <f>T("   Tissus de laine cardée ou de poils fins cardés, contenant &gt;= 85% en poids de laine ou de poils fins, d'un poids &gt; 300 g/m²")</f>
        <v xml:space="preserve">   Tissus de laine cardée ou de poils fins cardés, contenant &gt;= 85% en poids de laine ou de poils fins, d'un poids &gt; 300 g/m²</v>
      </c>
      <c r="C1864">
        <v>661208</v>
      </c>
      <c r="D1864">
        <v>2000</v>
      </c>
    </row>
    <row r="1865" spans="1:4" x14ac:dyDescent="0.25">
      <c r="A1865" t="str">
        <f>T("   520419")</f>
        <v xml:space="preserve">   520419</v>
      </c>
      <c r="B1865" t="str">
        <f>T("   Fils à coudre de coton, contenant en prédominance, mais &lt; 85% en poids de coton, non conditionnés pour la vente au détail")</f>
        <v xml:space="preserve">   Fils à coudre de coton, contenant en prédominance, mais &lt; 85% en poids de coton, non conditionnés pour la vente au détail</v>
      </c>
      <c r="C1865">
        <v>22225020</v>
      </c>
      <c r="D1865">
        <v>44590</v>
      </c>
    </row>
    <row r="1866" spans="1:4" x14ac:dyDescent="0.25">
      <c r="A1866" t="str">
        <f>T("   520420")</f>
        <v xml:space="preserve">   520420</v>
      </c>
      <c r="B1866" t="str">
        <f>T("   Fils à coudre de coton, conditionnés pour la vente au détail")</f>
        <v xml:space="preserve">   Fils à coudre de coton, conditionnés pour la vente au détail</v>
      </c>
      <c r="C1866">
        <v>17267588</v>
      </c>
      <c r="D1866">
        <v>65027</v>
      </c>
    </row>
    <row r="1867" spans="1:4" x14ac:dyDescent="0.25">
      <c r="A1867" t="str">
        <f>T("   520611")</f>
        <v xml:space="preserve">   520611</v>
      </c>
      <c r="B1867" t="str">
        <f>T("   Fils simples de coton, en fibres non peignées, contenant en prédominance, mais &lt; 85% en poids de coton, titrant &gt;= 714,29 décitex [&lt;= 14 numéros métriques] (sauf les fils à coudre et les fils conditionnés pour la vente au détail)")</f>
        <v xml:space="preserve">   Fils simples de coton, en fibres non peignées, contenant en prédominance, mais &lt; 85% en poids de coton, titrant &gt;= 714,29 décitex [&lt;= 14 numéros métriques] (sauf les fils à coudre et les fils conditionnés pour la vente au détail)</v>
      </c>
      <c r="C1867">
        <v>201327</v>
      </c>
      <c r="D1867">
        <v>150</v>
      </c>
    </row>
    <row r="1868" spans="1:4" x14ac:dyDescent="0.25">
      <c r="A1868" t="str">
        <f>T("   520710")</f>
        <v xml:space="preserve">   520710</v>
      </c>
      <c r="B1868" t="str">
        <f>T("   Fils de coton, contenant &gt;= 85% en poids de coton, conditionnés pour la vente au détail (sauf les fils à coudre)")</f>
        <v xml:space="preserve">   Fils de coton, contenant &gt;= 85% en poids de coton, conditionnés pour la vente au détail (sauf les fils à coudre)</v>
      </c>
      <c r="C1868">
        <v>7301120</v>
      </c>
      <c r="D1868">
        <v>8582</v>
      </c>
    </row>
    <row r="1869" spans="1:4" x14ac:dyDescent="0.25">
      <c r="A1869" t="str">
        <f>T("   520790")</f>
        <v xml:space="preserve">   520790</v>
      </c>
      <c r="B1869" t="str">
        <f>T("   Fils de coton, contenant en prédominance, mais &lt; 85% en poids de coton, conditionnés pour la vente au détail (sauf les fils à coudre)")</f>
        <v xml:space="preserve">   Fils de coton, contenant en prédominance, mais &lt; 85% en poids de coton, conditionnés pour la vente au détail (sauf les fils à coudre)</v>
      </c>
      <c r="C1869">
        <v>4475676</v>
      </c>
      <c r="D1869">
        <v>14355</v>
      </c>
    </row>
    <row r="1870" spans="1:4" x14ac:dyDescent="0.25">
      <c r="A1870" t="str">
        <f>T("   520821")</f>
        <v xml:space="preserve">   520821</v>
      </c>
      <c r="B1870" t="str">
        <f>T("   Tissus de coton, blanchis, à armure toile, contenant &gt;= 85% en poids de coton, d'un poids &lt;= 100 g/m²")</f>
        <v xml:space="preserve">   Tissus de coton, blanchis, à armure toile, contenant &gt;= 85% en poids de coton, d'un poids &lt;= 100 g/m²</v>
      </c>
      <c r="C1870">
        <v>4788508</v>
      </c>
      <c r="D1870">
        <v>20900</v>
      </c>
    </row>
    <row r="1871" spans="1:4" x14ac:dyDescent="0.25">
      <c r="A1871" t="str">
        <f>T("   520822")</f>
        <v xml:space="preserve">   520822</v>
      </c>
      <c r="B1871" t="str">
        <f>T("   Tissus de coton, blanchis, à armure toile, contenant &gt;= 85% en poids de coton, d'un poids &gt; 100 g/m² mais &lt;= 200 g/m²")</f>
        <v xml:space="preserve">   Tissus de coton, blanchis, à armure toile, contenant &gt;= 85% en poids de coton, d'un poids &gt; 100 g/m² mais &lt;= 200 g/m²</v>
      </c>
      <c r="C1871">
        <v>34000000</v>
      </c>
      <c r="D1871">
        <v>37060</v>
      </c>
    </row>
    <row r="1872" spans="1:4" x14ac:dyDescent="0.25">
      <c r="A1872" t="str">
        <f>T("   520829")</f>
        <v xml:space="preserve">   520829</v>
      </c>
      <c r="B1872"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1872">
        <v>268105613</v>
      </c>
      <c r="D1872">
        <v>309039</v>
      </c>
    </row>
    <row r="1873" spans="1:4" x14ac:dyDescent="0.25">
      <c r="A1873" t="str">
        <f>T("   520839")</f>
        <v xml:space="preserve">   520839</v>
      </c>
      <c r="B1873"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1873">
        <v>29059920</v>
      </c>
      <c r="D1873">
        <v>34580</v>
      </c>
    </row>
    <row r="1874" spans="1:4" x14ac:dyDescent="0.25">
      <c r="A1874" t="str">
        <f>T("   520849")</f>
        <v xml:space="preserve">   520849</v>
      </c>
      <c r="B1874"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1874">
        <v>20080000</v>
      </c>
      <c r="D1874">
        <v>33520</v>
      </c>
    </row>
    <row r="1875" spans="1:4" x14ac:dyDescent="0.25">
      <c r="A1875" t="str">
        <f>T("   520851")</f>
        <v xml:space="preserve">   520851</v>
      </c>
      <c r="B1875" t="str">
        <f>T("   Tissus de coton, imprimés, à armure toile, contenant &gt;= 85% en poids de coton, d'un poids &lt;= 100 g/m²")</f>
        <v xml:space="preserve">   Tissus de coton, imprimés, à armure toile, contenant &gt;= 85% en poids de coton, d'un poids &lt;= 100 g/m²</v>
      </c>
      <c r="C1875">
        <v>43080148</v>
      </c>
      <c r="D1875">
        <v>59860</v>
      </c>
    </row>
    <row r="1876" spans="1:4" x14ac:dyDescent="0.25">
      <c r="A1876" t="str">
        <f>T("   520852")</f>
        <v xml:space="preserve">   520852</v>
      </c>
      <c r="B1876" t="str">
        <f>T("   Tissus de coton, imprimés, à armure toile, contenant &gt;= 85% en poids de coton, d'un poids &gt; 100 g/m² mais &lt;= 200 g/m²")</f>
        <v xml:space="preserve">   Tissus de coton, imprimés, à armure toile, contenant &gt;= 85% en poids de coton, d'un poids &gt; 100 g/m² mais &lt;= 200 g/m²</v>
      </c>
      <c r="C1876">
        <v>4044086414</v>
      </c>
      <c r="D1876">
        <v>4141728</v>
      </c>
    </row>
    <row r="1877" spans="1:4" x14ac:dyDescent="0.25">
      <c r="A1877" t="str">
        <f>T("   520859")</f>
        <v xml:space="preserve">   520859</v>
      </c>
      <c r="B1877" t="str">
        <f>T("   TISSUS DE COTON, IMPRIMÉS, CONTENANT &gt;= 85% EN POIDS DE COTON, D'UN POIDS &lt;= 200 G/M² (À L'EXCL. DES TISSUS À ARMURE TOILE)")</f>
        <v xml:space="preserve">   TISSUS DE COTON, IMPRIMÉS, CONTENANT &gt;= 85% EN POIDS DE COTON, D'UN POIDS &lt;= 200 G/M² (À L'EXCL. DES TISSUS À ARMURE TOILE)</v>
      </c>
      <c r="C1877">
        <v>185390072</v>
      </c>
      <c r="D1877">
        <v>264250</v>
      </c>
    </row>
    <row r="1878" spans="1:4" x14ac:dyDescent="0.25">
      <c r="A1878" t="str">
        <f>T("   520911")</f>
        <v xml:space="preserve">   520911</v>
      </c>
      <c r="B1878" t="str">
        <f>T("   Tissus de coton, écrus, à armure toile, contenant &gt;= 85% en poids de coton, d'un poids &gt; 200 g/m²")</f>
        <v xml:space="preserve">   Tissus de coton, écrus, à armure toile, contenant &gt;= 85% en poids de coton, d'un poids &gt; 200 g/m²</v>
      </c>
      <c r="C1878">
        <v>40000799</v>
      </c>
      <c r="D1878">
        <v>32873</v>
      </c>
    </row>
    <row r="1879" spans="1:4" x14ac:dyDescent="0.25">
      <c r="A1879" t="str">
        <f>T("   520929")</f>
        <v xml:space="preserve">   520929</v>
      </c>
      <c r="B1879"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1879">
        <v>127252202</v>
      </c>
      <c r="D1879">
        <v>112789</v>
      </c>
    </row>
    <row r="1880" spans="1:4" x14ac:dyDescent="0.25">
      <c r="A1880" t="str">
        <f>T("   520939")</f>
        <v xml:space="preserve">   520939</v>
      </c>
      <c r="B1880" t="str">
        <f>T("   Tissus de coton, teints, contenant &gt;= 85% en poids de coton, d'un poids &gt; 200 g/m² (à l'excl. des tissus à armure toile ou à armure sergé [y.c. le croisé] d'un rapport d'armure &lt;= 4)")</f>
        <v xml:space="preserve">   Tissus de coton, teints, contenant &gt;= 85% en poids de coton, d'un poids &gt; 200 g/m² (à l'excl. des tissus à armure toile ou à armure sergé [y.c. le croisé] d'un rapport d'armure &lt;= 4)</v>
      </c>
      <c r="C1880">
        <v>10837115</v>
      </c>
      <c r="D1880">
        <v>11077</v>
      </c>
    </row>
    <row r="1881" spans="1:4" x14ac:dyDescent="0.25">
      <c r="A1881" t="str">
        <f>T("   520951")</f>
        <v xml:space="preserve">   520951</v>
      </c>
      <c r="B1881" t="str">
        <f>T("   Tissus de coton, imprimés, à armure toile, contenant &gt;= 85% en poids de coton, d'un poids &gt; 200 g/m²")</f>
        <v xml:space="preserve">   Tissus de coton, imprimés, à armure toile, contenant &gt;= 85% en poids de coton, d'un poids &gt; 200 g/m²</v>
      </c>
      <c r="C1881">
        <v>117201674</v>
      </c>
      <c r="D1881">
        <v>132053</v>
      </c>
    </row>
    <row r="1882" spans="1:4" x14ac:dyDescent="0.25">
      <c r="A1882" t="str">
        <f>T("   521131")</f>
        <v xml:space="preserve">   521131</v>
      </c>
      <c r="B1882" t="str">
        <f>T("   Tissus de coton, teints, à armure toile, contenant en prédominance, mais &lt; 85% en poids de coton, mélangés principalement ou uniquement avec des fibres synthétiques ou artificielles, d'un poids &gt; 200 g/m²")</f>
        <v xml:space="preserve">   Tissus de coton, teints, à armure toile, contenant en prédominance, mais &lt; 85% en poids de coton, mélangés principalement ou uniquement avec des fibres synthétiques ou artificielles, d'un poids &gt; 200 g/m²</v>
      </c>
      <c r="C1882">
        <v>1915003</v>
      </c>
      <c r="D1882">
        <v>2757</v>
      </c>
    </row>
    <row r="1883" spans="1:4" x14ac:dyDescent="0.25">
      <c r="A1883" t="str">
        <f>T("   521149")</f>
        <v xml:space="preserve">   521149</v>
      </c>
      <c r="B1883" t="s">
        <v>221</v>
      </c>
      <c r="C1883">
        <v>1838787</v>
      </c>
      <c r="D1883">
        <v>2240</v>
      </c>
    </row>
    <row r="1884" spans="1:4" x14ac:dyDescent="0.25">
      <c r="A1884" t="str">
        <f>T("   521213")</f>
        <v xml:space="preserve">   521213</v>
      </c>
      <c r="B1884" t="str">
        <f>T("   Tissus de coton, teints, contenant en prédominance, mais &lt; 85% en poids de coton, autres que mélangés principalement ou uniquement avec des fibres synthétiques ou artificielles, d'un poids &lt;= 200 g/m²")</f>
        <v xml:space="preserve">   Tissus de coton, teints, contenant en prédominance, mais &lt; 85% en poids de coton, autres que mélangés principalement ou uniquement avec des fibres synthétiques ou artificielles, d'un poids &lt;= 200 g/m²</v>
      </c>
      <c r="C1884">
        <v>8165024</v>
      </c>
      <c r="D1884">
        <v>43780</v>
      </c>
    </row>
    <row r="1885" spans="1:4" x14ac:dyDescent="0.25">
      <c r="A1885" t="str">
        <f>T("   521224")</f>
        <v xml:space="preserve">   521224</v>
      </c>
      <c r="B1885" t="str">
        <f>T("   Tissus de coton, en fils de diverses couleurs, contenant en prédominance, mais &lt; 85% en poids de coton, autres que mélangés principalement ou uniquement avec des fibres synthétiques ou artificielles, d'un poids &gt; 200 g/m²")</f>
        <v xml:space="preserve">   Tissus de coton, en fils de diverses couleurs, contenant en prédominance, mais &lt; 85% en poids de coton, autres que mélangés principalement ou uniquement avec des fibres synthétiques ou artificielles, d'un poids &gt; 200 g/m²</v>
      </c>
      <c r="C1885">
        <v>300000</v>
      </c>
      <c r="D1885">
        <v>96</v>
      </c>
    </row>
    <row r="1886" spans="1:4" x14ac:dyDescent="0.25">
      <c r="A1886" t="str">
        <f>T("   521225")</f>
        <v xml:space="preserve">   521225</v>
      </c>
      <c r="B1886" t="str">
        <f>T("   Tissus de coton, imprimés, contenant en prédominance, mais &lt; 85% en poids de coton, autres que mélangés principalement ou uniquement avec des fibres synthétiques ou artificielles, d'un poids &gt; 200 g/m²")</f>
        <v xml:space="preserve">   Tissus de coton, imprimés, contenant en prédominance, mais &lt; 85% en poids de coton, autres que mélangés principalement ou uniquement avec des fibres synthétiques ou artificielles, d'un poids &gt; 200 g/m²</v>
      </c>
      <c r="C1886">
        <v>13000451</v>
      </c>
      <c r="D1886">
        <v>18500</v>
      </c>
    </row>
    <row r="1887" spans="1:4" x14ac:dyDescent="0.25">
      <c r="A1887" t="str">
        <f>T("   530929")</f>
        <v xml:space="preserve">   530929</v>
      </c>
      <c r="B1887" t="str">
        <f>T("   Tissus de lin, contenant en prédominance, mais &lt; 85% en poids de lin, teints ou en fils de diverses couleurs ou imprimés")</f>
        <v xml:space="preserve">   Tissus de lin, contenant en prédominance, mais &lt; 85% en poids de lin, teints ou en fils de diverses couleurs ou imprimés</v>
      </c>
      <c r="C1887">
        <v>208517</v>
      </c>
      <c r="D1887">
        <v>1493</v>
      </c>
    </row>
    <row r="1888" spans="1:4" x14ac:dyDescent="0.25">
      <c r="A1888" t="str">
        <f>T("   540110")</f>
        <v xml:space="preserve">   540110</v>
      </c>
      <c r="B1888" t="str">
        <f>T("   Fils à coudre de filaments synthétiques, même conditionnés pour la vente au détail")</f>
        <v xml:space="preserve">   Fils à coudre de filaments synthétiques, même conditionnés pour la vente au détail</v>
      </c>
      <c r="C1888">
        <v>30878639</v>
      </c>
      <c r="D1888">
        <v>35185</v>
      </c>
    </row>
    <row r="1889" spans="1:4" x14ac:dyDescent="0.25">
      <c r="A1889" t="str">
        <f>T("   540120")</f>
        <v xml:space="preserve">   540120</v>
      </c>
      <c r="B1889" t="str">
        <f>T("   Fils à coudre de filaments artificiels, même conditionnés pour la vente au détail")</f>
        <v xml:space="preserve">   Fils à coudre de filaments artificiels, même conditionnés pour la vente au détail</v>
      </c>
      <c r="C1889">
        <v>35017376</v>
      </c>
      <c r="D1889">
        <v>55505</v>
      </c>
    </row>
    <row r="1890" spans="1:4" x14ac:dyDescent="0.25">
      <c r="A1890" t="str">
        <f>T("   540233")</f>
        <v xml:space="preserve">   540233</v>
      </c>
      <c r="B1890" t="str">
        <f>T("   Fils texturés de filaments de polyesters, non conditionnés pour la vente au détail (à l'excl. des fils à coudre)")</f>
        <v xml:space="preserve">   Fils texturés de filaments de polyesters, non conditionnés pour la vente au détail (à l'excl. des fils à coudre)</v>
      </c>
      <c r="C1890">
        <v>4916467</v>
      </c>
      <c r="D1890">
        <v>9796</v>
      </c>
    </row>
    <row r="1891" spans="1:4" x14ac:dyDescent="0.25">
      <c r="A1891" t="str">
        <f>T("   540249")</f>
        <v xml:space="preserve">   540249</v>
      </c>
      <c r="B1891" t="s">
        <v>223</v>
      </c>
      <c r="C1891">
        <v>1233368</v>
      </c>
      <c r="D1891">
        <v>1515</v>
      </c>
    </row>
    <row r="1892" spans="1:4" x14ac:dyDescent="0.25">
      <c r="A1892" t="str">
        <f>T("   540410")</f>
        <v xml:space="preserve">   540410</v>
      </c>
      <c r="B1892" t="str">
        <f>T("   Monofilaments synthétiques de &gt;= 67 décitex et dont la plus grande dimension de la coupe transversale &lt;= 1 mm")</f>
        <v xml:space="preserve">   Monofilaments synthétiques de &gt;= 67 décitex et dont la plus grande dimension de la coupe transversale &lt;= 1 mm</v>
      </c>
      <c r="C1892">
        <v>2143174</v>
      </c>
      <c r="D1892">
        <v>3000</v>
      </c>
    </row>
    <row r="1893" spans="1:4" x14ac:dyDescent="0.25">
      <c r="A1893" t="str">
        <f>T("   540769")</f>
        <v xml:space="preserve">   540769</v>
      </c>
      <c r="B1893" t="str">
        <f>T("   TISSUS OBTENUS À PARTIR DE FILS CONTENANT &gt;= 85% EN POIDS DE MÉLANGES DE FILAMENTS DE POLYESTER TEXTURÉS ET DE FILAMENTS DE POLYESTER NON-TEXTURÉS, Y.C. LES TISSUS OBTENUS À PARTIR DES MONOFILAMENTS DU N° 5404")</f>
        <v xml:space="preserve">   TISSUS OBTENUS À PARTIR DE FILS CONTENANT &gt;= 85% EN POIDS DE MÉLANGES DE FILAMENTS DE POLYESTER TEXTURÉS ET DE FILAMENTS DE POLYESTER NON-TEXTURÉS, Y.C. LES TISSUS OBTENUS À PARTIR DES MONOFILAMENTS DU N° 5404</v>
      </c>
      <c r="C1893">
        <v>59279607</v>
      </c>
      <c r="D1893">
        <v>59040</v>
      </c>
    </row>
    <row r="1894" spans="1:4" x14ac:dyDescent="0.25">
      <c r="A1894" t="str">
        <f>T("   540782")</f>
        <v xml:space="preserve">   540782</v>
      </c>
      <c r="B1894" t="str">
        <f>T("   Tissus teints, obtenus à partir de fils de filaments synthétiques contenant en prédominance, mais &lt; 85% en poids de ces filaments et mélangés principalement ou uniquement avec du coton, y.c. les tissus obtenus à partir des monofilaments du n° 5404")</f>
        <v xml:space="preserve">   Tissus teints, obtenus à partir de fils de filaments synthétiques contenant en prédominance, mais &lt; 85% en poids de ces filaments et mélangés principalement ou uniquement avec du coton, y.c. les tissus obtenus à partir des monofilaments du n° 5404</v>
      </c>
      <c r="C1894">
        <v>44071655</v>
      </c>
      <c r="D1894">
        <v>86525</v>
      </c>
    </row>
    <row r="1895" spans="1:4" x14ac:dyDescent="0.25">
      <c r="A1895" t="str">
        <f>T("   550320")</f>
        <v xml:space="preserve">   550320</v>
      </c>
      <c r="B1895" t="str">
        <f>T("   Fibres discontinues de polyesters, non cardées ni peignées ni autrement transformées pour la filature")</f>
        <v xml:space="preserve">   Fibres discontinues de polyesters, non cardées ni peignées ni autrement transformées pour la filature</v>
      </c>
      <c r="C1895">
        <v>125043437</v>
      </c>
      <c r="D1895">
        <v>77184</v>
      </c>
    </row>
    <row r="1896" spans="1:4" x14ac:dyDescent="0.25">
      <c r="A1896" t="str">
        <f>T("   550810")</f>
        <v xml:space="preserve">   550810</v>
      </c>
      <c r="B1896" t="str">
        <f>T("   Fils à coudre de fibres synthétiques discontinues, même conditionnés pour la vente au détail")</f>
        <v xml:space="preserve">   Fils à coudre de fibres synthétiques discontinues, même conditionnés pour la vente au détail</v>
      </c>
      <c r="C1896">
        <v>37640591</v>
      </c>
      <c r="D1896">
        <v>95674</v>
      </c>
    </row>
    <row r="1897" spans="1:4" x14ac:dyDescent="0.25">
      <c r="A1897" t="str">
        <f>T("   550820")</f>
        <v xml:space="preserve">   550820</v>
      </c>
      <c r="B1897" t="str">
        <f>T("   Fils à coudre de fibres artificielles discontinues, même conditionnés pour la vente au détail")</f>
        <v xml:space="preserve">   Fils à coudre de fibres artificielles discontinues, même conditionnés pour la vente au détail</v>
      </c>
      <c r="C1897">
        <v>2057350</v>
      </c>
      <c r="D1897">
        <v>11786</v>
      </c>
    </row>
    <row r="1898" spans="1:4" x14ac:dyDescent="0.25">
      <c r="A1898" t="str">
        <f>T("   551219")</f>
        <v xml:space="preserve">   551219</v>
      </c>
      <c r="B1898"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1898">
        <v>391057763</v>
      </c>
      <c r="D1898">
        <v>654061</v>
      </c>
    </row>
    <row r="1899" spans="1:4" x14ac:dyDescent="0.25">
      <c r="A1899" t="str">
        <f>T("   551229")</f>
        <v xml:space="preserve">   551229</v>
      </c>
      <c r="B1899" t="str">
        <f>T("   Tissus, teints, imprimés ou en fils de diverses couleurs, de fibres discontinues acryliques ou modacryliques, contenant &gt;= 85% en poids de ces fibres")</f>
        <v xml:space="preserve">   Tissus, teints, imprimés ou en fils de diverses couleurs, de fibres discontinues acryliques ou modacryliques, contenant &gt;= 85% en poids de ces fibres</v>
      </c>
      <c r="C1899">
        <v>10000000</v>
      </c>
      <c r="D1899">
        <v>10640</v>
      </c>
    </row>
    <row r="1900" spans="1:4" x14ac:dyDescent="0.25">
      <c r="A1900" t="str">
        <f>T("   551291")</f>
        <v xml:space="preserve">   551291</v>
      </c>
      <c r="B1900" t="str">
        <f>T("   Tissus, écrus ou blanchis, de fibres synthétiques discontinues, contenant &gt;= 85% en poids de ces fibres (à l'excl. des tissus de fibres discontinues acryliques ou modacryliques ou de fibres discontinues de polyester)")</f>
        <v xml:space="preserve">   Tissus, écrus ou blanchis, de fibres synthétiques discontinues, contenant &gt;= 85% en poids de ces fibres (à l'excl. des tissus de fibres discontinues acryliques ou modacryliques ou de fibres discontinues de polyester)</v>
      </c>
      <c r="C1900">
        <v>41003655</v>
      </c>
      <c r="D1900">
        <v>57500</v>
      </c>
    </row>
    <row r="1901" spans="1:4" x14ac:dyDescent="0.25">
      <c r="A1901" t="str">
        <f>T("   551299")</f>
        <v xml:space="preserve">   551299</v>
      </c>
      <c r="B1901" t="str">
        <f>T("   Tissus, teints, imprimés ou en fils de diverses couleurs, de fibres synthétiques discontinues, contenant &gt;= 85% en poids de ces fibres (à l'excl. des tissus de fibres discontinues acryliques ou modacryliques ou de fibres discontinues de polyester)")</f>
        <v xml:space="preserve">   Tissus, teints, imprimés ou en fils de diverses couleurs, de fibres synthétiques discontinues, contenant &gt;= 85% en poids de ces fibres (à l'excl. des tissus de fibres discontinues acryliques ou modacryliques ou de fibres discontinues de polyester)</v>
      </c>
      <c r="C1901">
        <v>35855388</v>
      </c>
      <c r="D1901">
        <v>85100</v>
      </c>
    </row>
    <row r="1902" spans="1:4" x14ac:dyDescent="0.25">
      <c r="A1902" t="str">
        <f>T("   551313")</f>
        <v xml:space="preserve">   551313</v>
      </c>
      <c r="B1902" t="s">
        <v>226</v>
      </c>
      <c r="C1902">
        <v>97987865</v>
      </c>
      <c r="D1902">
        <v>187290</v>
      </c>
    </row>
    <row r="1903" spans="1:4" x14ac:dyDescent="0.25">
      <c r="A1903" t="str">
        <f>T("   551319")</f>
        <v xml:space="preserve">   551319</v>
      </c>
      <c r="B1903" t="s">
        <v>227</v>
      </c>
      <c r="C1903">
        <v>102258585</v>
      </c>
      <c r="D1903">
        <v>136806</v>
      </c>
    </row>
    <row r="1904" spans="1:4" x14ac:dyDescent="0.25">
      <c r="A1904" t="str">
        <f>T("   551321")</f>
        <v xml:space="preserve">   551321</v>
      </c>
      <c r="B1904" t="str">
        <f>T("   Tissus, teints, de fibres discontinues de polyester, contenant en prédominance, mais &lt; 85% en poids de ces fibres, mélangés principalement ou uniquement avec du coton, à armure toile, d'un poids &lt;= 170 g/m²")</f>
        <v xml:space="preserve">   Tissus, teints, de fibres discontinues de polyester, contenant en prédominance, mais &lt; 85% en poids de ces fibres, mélangés principalement ou uniquement avec du coton, à armure toile, d'un poids &lt;= 170 g/m²</v>
      </c>
      <c r="C1904">
        <v>141013130</v>
      </c>
      <c r="D1904">
        <v>223462</v>
      </c>
    </row>
    <row r="1905" spans="1:4" x14ac:dyDescent="0.25">
      <c r="A1905" t="str">
        <f>T("   551329")</f>
        <v xml:space="preserve">   551329</v>
      </c>
      <c r="B1905" t="str">
        <f>T("   Tissus, teints, de fibres synthétiques discontinues, contenant en prédominance, mais &lt; 85% en poids de ces fibres, mélangés principalement ou uniquement avec du coton, d'un poids &lt;= 170 g/m² (à l'excl. des tissus de fibres discontinues de polyester)")</f>
        <v xml:space="preserve">   Tissus, teints, de fibres synthétiques discontinues, contenant en prédominance, mais &lt; 85% en poids de ces fibres, mélangés principalement ou uniquement avec du coton, d'un poids &lt;= 170 g/m² (à l'excl. des tissus de fibres discontinues de polyester)</v>
      </c>
      <c r="C1905">
        <v>69941787</v>
      </c>
      <c r="D1905">
        <v>66313</v>
      </c>
    </row>
    <row r="1906" spans="1:4" x14ac:dyDescent="0.25">
      <c r="A1906" t="str">
        <f>T("   551349")</f>
        <v xml:space="preserve">   551349</v>
      </c>
      <c r="B1906" t="str">
        <f>T("   Tissus, imprimés, de fibres synthétiques discontinues, contenant en prédominance, mais &lt; 85% en poids de ces fibres, mélangés principalement ou uniquement avec du coton, d'un poids &lt;= 170 g/m² (à l'excl. des tissus de fibres discontinues de polyester)")</f>
        <v xml:space="preserve">   Tissus, imprimés, de fibres synthétiques discontinues, contenant en prédominance, mais &lt; 85% en poids de ces fibres, mélangés principalement ou uniquement avec du coton, d'un poids &lt;= 170 g/m² (à l'excl. des tissus de fibres discontinues de polyester)</v>
      </c>
      <c r="C1906">
        <v>6000000</v>
      </c>
      <c r="D1906">
        <v>13060</v>
      </c>
    </row>
    <row r="1907" spans="1:4" x14ac:dyDescent="0.25">
      <c r="A1907" t="str">
        <f>T("   551421")</f>
        <v xml:space="preserve">   551421</v>
      </c>
      <c r="B1907" t="str">
        <f>T("   Tissus, teints, de fibres discontinues de polyester, contenant en prédominance, mais &lt; 85% en poids de ces fibres, mélangés principalement ou uniquement avec du coton, à armure toile, d'un poids &gt; 170 g/m²")</f>
        <v xml:space="preserve">   Tissus, teints, de fibres discontinues de polyester, contenant en prédominance, mais &lt; 85% en poids de ces fibres, mélangés principalement ou uniquement avec du coton, à armure toile, d'un poids &gt; 170 g/m²</v>
      </c>
      <c r="C1907">
        <v>26096212</v>
      </c>
      <c r="D1907">
        <v>33584</v>
      </c>
    </row>
    <row r="1908" spans="1:4" x14ac:dyDescent="0.25">
      <c r="A1908" t="str">
        <f>T("   551512")</f>
        <v xml:space="preserve">   551512</v>
      </c>
      <c r="B1908" t="str">
        <f>T("   Tissus de fibres discontinues de polyester, contenant en prédominance, mais &lt; 85% en poids de ces fibres, mélangés principalement ou uniquement avec des filaments synthétiques ou artificiels")</f>
        <v xml:space="preserve">   Tissus de fibres discontinues de polyester, contenant en prédominance, mais &lt; 85% en poids de ces fibres, mélangés principalement ou uniquement avec des filaments synthétiques ou artificiels</v>
      </c>
      <c r="C1908">
        <v>18080000</v>
      </c>
      <c r="D1908">
        <v>28960</v>
      </c>
    </row>
    <row r="1909" spans="1:4" x14ac:dyDescent="0.25">
      <c r="A1909" t="str">
        <f>T("   551519")</f>
        <v xml:space="preserve">   551519</v>
      </c>
      <c r="B1909" t="s">
        <v>231</v>
      </c>
      <c r="C1909">
        <v>282094175</v>
      </c>
      <c r="D1909">
        <v>579167</v>
      </c>
    </row>
    <row r="1910" spans="1:4" x14ac:dyDescent="0.25">
      <c r="A1910" t="str">
        <f>T("   551529")</f>
        <v xml:space="preserve">   551529</v>
      </c>
      <c r="B1910" t="s">
        <v>232</v>
      </c>
      <c r="C1910">
        <v>353620000</v>
      </c>
      <c r="D1910">
        <v>853980</v>
      </c>
    </row>
    <row r="1911" spans="1:4" x14ac:dyDescent="0.25">
      <c r="A1911" t="str">
        <f>T("   551591")</f>
        <v xml:space="preserve">   551591</v>
      </c>
      <c r="B1911" t="s">
        <v>233</v>
      </c>
      <c r="C1911">
        <v>3007577</v>
      </c>
      <c r="D1911">
        <v>3761</v>
      </c>
    </row>
    <row r="1912" spans="1:4" x14ac:dyDescent="0.25">
      <c r="A1912" t="str">
        <f>T("   551592")</f>
        <v xml:space="preserve">   551592</v>
      </c>
      <c r="B1912" t="s">
        <v>234</v>
      </c>
      <c r="C1912">
        <v>330300000</v>
      </c>
      <c r="D1912">
        <v>602560</v>
      </c>
    </row>
    <row r="1913" spans="1:4" x14ac:dyDescent="0.25">
      <c r="A1913" t="str">
        <f>T("   551599")</f>
        <v xml:space="preserve">   551599</v>
      </c>
      <c r="B1913" t="s">
        <v>235</v>
      </c>
      <c r="C1913">
        <v>302740000</v>
      </c>
      <c r="D1913">
        <v>581640</v>
      </c>
    </row>
    <row r="1914" spans="1:4" x14ac:dyDescent="0.25">
      <c r="A1914" t="str">
        <f>T("   560110")</f>
        <v xml:space="preserve">   560110</v>
      </c>
      <c r="B1914" t="str">
        <f>T("   Serviettes et tampons hygiéniques, couches pour bébés et articles hygiéniques simil., en ouates")</f>
        <v xml:space="preserve">   Serviettes et tampons hygiéniques, couches pour bébés et articles hygiéniques simil., en ouates</v>
      </c>
      <c r="C1914">
        <v>28335084</v>
      </c>
      <c r="D1914">
        <v>155549</v>
      </c>
    </row>
    <row r="1915" spans="1:4" x14ac:dyDescent="0.25">
      <c r="A1915" t="str">
        <f>T("   560129")</f>
        <v xml:space="preserve">   560129</v>
      </c>
      <c r="B1915" t="s">
        <v>237</v>
      </c>
      <c r="C1915">
        <v>446377</v>
      </c>
      <c r="D1915">
        <v>856</v>
      </c>
    </row>
    <row r="1916" spans="1:4" x14ac:dyDescent="0.25">
      <c r="A1916" t="str">
        <f>T("   560311")</f>
        <v xml:space="preserve">   560311</v>
      </c>
      <c r="B1916" t="str">
        <f>T("   Nontissés, même imprégnés, enduits, recouverts ou stratifiés, n.d.a., de filaments synthétiques ou artificiels, d'un poids &lt;= 25 g/m²")</f>
        <v xml:space="preserve">   Nontissés, même imprégnés, enduits, recouverts ou stratifiés, n.d.a., de filaments synthétiques ou artificiels, d'un poids &lt;= 25 g/m²</v>
      </c>
      <c r="C1916">
        <v>32568875</v>
      </c>
      <c r="D1916">
        <v>28008</v>
      </c>
    </row>
    <row r="1917" spans="1:4" x14ac:dyDescent="0.25">
      <c r="A1917" t="str">
        <f>T("   560314")</f>
        <v xml:space="preserve">   560314</v>
      </c>
      <c r="B1917" t="str">
        <f>T("   Nontissés, même imprégnés, enduits, recouverts ou stratifiés, n.d.a., de filaments synthétiques ou artificiels, d'un poids &gt; 150 g/m²")</f>
        <v xml:space="preserve">   Nontissés, même imprégnés, enduits, recouverts ou stratifiés, n.d.a., de filaments synthétiques ou artificiels, d'un poids &gt; 150 g/m²</v>
      </c>
      <c r="C1917">
        <v>489416</v>
      </c>
      <c r="D1917">
        <v>840</v>
      </c>
    </row>
    <row r="1918" spans="1:4" x14ac:dyDescent="0.25">
      <c r="A1918" t="str">
        <f>T("   560420")</f>
        <v xml:space="preserve">   560420</v>
      </c>
      <c r="B1918" t="str">
        <f>T("   Fils à haute ténacité de polyesters, de nylon ou d'autres polyamides ou de rayonne viscose, imprégnés ou enduits de caoutchouc ou de matière plastique")</f>
        <v xml:space="preserve">   Fils à haute ténacité de polyesters, de nylon ou d'autres polyamides ou de rayonne viscose, imprégnés ou enduits de caoutchouc ou de matière plastique</v>
      </c>
      <c r="C1918">
        <v>3287474</v>
      </c>
      <c r="D1918">
        <v>9859</v>
      </c>
    </row>
    <row r="1919" spans="1:4" x14ac:dyDescent="0.25">
      <c r="A1919" t="str">
        <f>T("   560490")</f>
        <v xml:space="preserve">   560490</v>
      </c>
      <c r="B1919"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1919">
        <v>272944</v>
      </c>
      <c r="D1919">
        <v>4020</v>
      </c>
    </row>
    <row r="1920" spans="1:4" x14ac:dyDescent="0.25">
      <c r="A1920" t="str">
        <f>T("   560500")</f>
        <v xml:space="preserve">   560500</v>
      </c>
      <c r="B1920" t="s">
        <v>238</v>
      </c>
      <c r="C1920">
        <v>642808</v>
      </c>
      <c r="D1920">
        <v>700</v>
      </c>
    </row>
    <row r="1921" spans="1:4" x14ac:dyDescent="0.25">
      <c r="A1921" t="str">
        <f>T("   560750")</f>
        <v xml:space="preserve">   560750</v>
      </c>
      <c r="B1921" t="str">
        <f>T("   Ficelles, cordes et cordages, de fibres synthétiques, tressés ou non, même imprégnés, enduits, recouverts ou gainés de caoutchouc ou de matière plastique (à l'excl. des produits en polyéthylène ou en polypropylène)")</f>
        <v xml:space="preserve">   Ficelles, cordes et cordages, de fibres synthétiques, tressés ou non, même imprégnés, enduits, recouverts ou gainés de caoutchouc ou de matière plastique (à l'excl. des produits en polyéthylène ou en polypropylène)</v>
      </c>
      <c r="C1921">
        <v>106046</v>
      </c>
      <c r="D1921">
        <v>4579</v>
      </c>
    </row>
    <row r="1922" spans="1:4" x14ac:dyDescent="0.25">
      <c r="A1922" t="str">
        <f>T("   560790")</f>
        <v xml:space="preserve">   560790</v>
      </c>
      <c r="B1922" t="str">
        <f>T("   FICELLES, CORDES ET CORDAGES, TRESSÉS OU NON, MÊME IMPRÉGNÉS, ENDUITS, RECOUVERTS OU GAINÉS DE CAOUTCHOUC OU DE MATIÈRE PLASTIQUE (À L'EXCL. DES PRODUITS DE FIBRES SYNTHÉTIQUES AINSI QUE DE SISAL OU D'AUTRES FIBRES TEXTILES DU GENRE 'AGAVE')")</f>
        <v xml:space="preserve">   FICELLES, CORDES ET CORDAGES, TRESSÉS OU NON, MÊME IMPRÉGNÉS, ENDUITS, RECOUVERTS OU GAINÉS DE CAOUTCHOUC OU DE MATIÈRE PLASTIQUE (À L'EXCL. DES PRODUITS DE FIBRES SYNTHÉTIQUES AINSI QUE DE SISAL OU D'AUTRES FIBRES TEXTILES DU GENRE 'AGAVE')</v>
      </c>
      <c r="C1922">
        <v>754048</v>
      </c>
      <c r="D1922">
        <v>4206</v>
      </c>
    </row>
    <row r="1923" spans="1:4" x14ac:dyDescent="0.25">
      <c r="A1923" t="str">
        <f>T("   560811")</f>
        <v xml:space="preserve">   560811</v>
      </c>
      <c r="B1923"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1923">
        <v>1589345</v>
      </c>
      <c r="D1923">
        <v>6980</v>
      </c>
    </row>
    <row r="1924" spans="1:4" x14ac:dyDescent="0.25">
      <c r="A1924" t="str">
        <f>T("   560819")</f>
        <v xml:space="preserve">   560819</v>
      </c>
      <c r="B1924" t="s">
        <v>239</v>
      </c>
      <c r="C1924">
        <v>228578</v>
      </c>
      <c r="D1924">
        <v>1737</v>
      </c>
    </row>
    <row r="1925" spans="1:4" x14ac:dyDescent="0.25">
      <c r="A1925" t="str">
        <f>T("   560890")</f>
        <v xml:space="preserve">   560890</v>
      </c>
      <c r="B1925" t="s">
        <v>240</v>
      </c>
      <c r="C1925">
        <v>20895095</v>
      </c>
      <c r="D1925">
        <v>109401</v>
      </c>
    </row>
    <row r="1926" spans="1:4" x14ac:dyDescent="0.25">
      <c r="A1926" t="str">
        <f>T("   570190")</f>
        <v xml:space="preserve">   570190</v>
      </c>
      <c r="B1926"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1926">
        <v>24312091</v>
      </c>
      <c r="D1926">
        <v>70047</v>
      </c>
    </row>
    <row r="1927" spans="1:4" x14ac:dyDescent="0.25">
      <c r="A1927" t="str">
        <f>T("   570239")</f>
        <v xml:space="preserve">   570239</v>
      </c>
      <c r="B1927" t="s">
        <v>241</v>
      </c>
      <c r="C1927">
        <v>389232</v>
      </c>
      <c r="D1927">
        <v>605</v>
      </c>
    </row>
    <row r="1928" spans="1:4" x14ac:dyDescent="0.25">
      <c r="A1928" t="str">
        <f>T("   570299")</f>
        <v xml:space="preserve">   570299</v>
      </c>
      <c r="B1928" t="s">
        <v>245</v>
      </c>
      <c r="C1928">
        <v>1815658</v>
      </c>
      <c r="D1928">
        <v>2994</v>
      </c>
    </row>
    <row r="1929" spans="1:4" x14ac:dyDescent="0.25">
      <c r="A1929" t="str">
        <f>T("   570320")</f>
        <v xml:space="preserve">   570320</v>
      </c>
      <c r="B1929" t="str">
        <f>T("   Tapis et autres revêtements de sol, de nylon ou d'autres polyamides, touffetés, même confectionnés")</f>
        <v xml:space="preserve">   Tapis et autres revêtements de sol, de nylon ou d'autres polyamides, touffetés, même confectionnés</v>
      </c>
      <c r="C1929">
        <v>392900</v>
      </c>
      <c r="D1929">
        <v>2000</v>
      </c>
    </row>
    <row r="1930" spans="1:4" x14ac:dyDescent="0.25">
      <c r="A1930" t="str">
        <f>T("   570330")</f>
        <v xml:space="preserve">   570330</v>
      </c>
      <c r="B1930" t="str">
        <f>T("   Tapis et autres revêtements de sol, de matières textiles synthétiques ou artificielles, touffetés, même confectionnés (à l'excl. des articles en nylon ou en autres polyamides)")</f>
        <v xml:space="preserve">   Tapis et autres revêtements de sol, de matières textiles synthétiques ou artificielles, touffetés, même confectionnés (à l'excl. des articles en nylon ou en autres polyamides)</v>
      </c>
      <c r="C1930">
        <v>1512829</v>
      </c>
      <c r="D1930">
        <v>6242</v>
      </c>
    </row>
    <row r="1931" spans="1:4" x14ac:dyDescent="0.25">
      <c r="A1931" t="str">
        <f>T("   570390")</f>
        <v xml:space="preserve">   570390</v>
      </c>
      <c r="B1931"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1931">
        <v>833488</v>
      </c>
      <c r="D1931">
        <v>7965</v>
      </c>
    </row>
    <row r="1932" spans="1:4" x14ac:dyDescent="0.25">
      <c r="A1932" t="str">
        <f>T("   570410")</f>
        <v xml:space="preserve">   570410</v>
      </c>
      <c r="B1932" t="str">
        <f>T("   CARREAUX, EN FEUTRE, NON TOUFFETÉS NI FLOQUÉS, D'UNE SUPERFICIE &lt;= 0,3 M¦")</f>
        <v xml:space="preserve">   CARREAUX, EN FEUTRE, NON TOUFFETÉS NI FLOQUÉS, D'UNE SUPERFICIE &lt;= 0,3 M¦</v>
      </c>
      <c r="C1932">
        <v>10338144</v>
      </c>
      <c r="D1932">
        <v>64425</v>
      </c>
    </row>
    <row r="1933" spans="1:4" x14ac:dyDescent="0.25">
      <c r="A1933" t="str">
        <f>T("   570490")</f>
        <v xml:space="preserve">   570490</v>
      </c>
      <c r="B1933"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1933">
        <v>1031561</v>
      </c>
      <c r="D1933">
        <v>1280</v>
      </c>
    </row>
    <row r="1934" spans="1:4" x14ac:dyDescent="0.25">
      <c r="A1934" t="str">
        <f>T("   570500")</f>
        <v xml:space="preserve">   570500</v>
      </c>
      <c r="B1934"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1934">
        <v>9111629</v>
      </c>
      <c r="D1934">
        <v>17656</v>
      </c>
    </row>
    <row r="1935" spans="1:4" x14ac:dyDescent="0.25">
      <c r="A1935" t="str">
        <f>T("   580190")</f>
        <v xml:space="preserve">   580190</v>
      </c>
      <c r="B1935" t="str">
        <f>T("   Velours et peluches tissés et tissus de chenille (à l'excl. des tissus bouclés du genre éponge, des surfaces textiles touffetées, des articles de rubanerie du n° 5806 et des articles de laine, de poils fins ou de fibres synthétiques ou artificielles)")</f>
        <v xml:space="preserve">   Velours et peluches tissés et tissus de chenille (à l'excl. des tissus bouclés du genre éponge, des surfaces textiles touffetées, des articles de rubanerie du n° 5806 et des articles de laine, de poils fins ou de fibres synthétiques ou artificielles)</v>
      </c>
      <c r="C1935">
        <v>416900</v>
      </c>
      <c r="D1935">
        <v>722</v>
      </c>
    </row>
    <row r="1936" spans="1:4" x14ac:dyDescent="0.25">
      <c r="A1936" t="str">
        <f>T("   580310")</f>
        <v xml:space="preserve">   580310</v>
      </c>
      <c r="B1936" t="str">
        <f>T("   Tissus à point de gaze, de coton (à l'excl. des articles de rubanerie du n° 5806)")</f>
        <v xml:space="preserve">   Tissus à point de gaze, de coton (à l'excl. des articles de rubanerie du n° 5806)</v>
      </c>
      <c r="C1936">
        <v>1737164</v>
      </c>
      <c r="D1936">
        <v>3500</v>
      </c>
    </row>
    <row r="1937" spans="1:4" x14ac:dyDescent="0.25">
      <c r="A1937" t="str">
        <f>T("   580421")</f>
        <v xml:space="preserve">   580421</v>
      </c>
      <c r="B1937" t="str">
        <f>T("   Dentelles à la mécanique, de fibres synthétiques ou artificielles, en pièces, en bandes ou en motifs (à l'excl. des produits du n° 6002 à 6006)")</f>
        <v xml:space="preserve">   Dentelles à la mécanique, de fibres synthétiques ou artificielles, en pièces, en bandes ou en motifs (à l'excl. des produits du n° 6002 à 6006)</v>
      </c>
      <c r="C1937">
        <v>46512631</v>
      </c>
      <c r="D1937">
        <v>172074</v>
      </c>
    </row>
    <row r="1938" spans="1:4" x14ac:dyDescent="0.25">
      <c r="A1938" t="str">
        <f>T("   580430")</f>
        <v xml:space="preserve">   580430</v>
      </c>
      <c r="B1938" t="str">
        <f>T("   Dentelles à la main, en pièces, en bandes ou en motifs (à l'excl. des produits du n° 6002 à 6006)")</f>
        <v xml:space="preserve">   Dentelles à la main, en pièces, en bandes ou en motifs (à l'excl. des produits du n° 6002 à 6006)</v>
      </c>
      <c r="C1938">
        <v>583196</v>
      </c>
      <c r="D1938">
        <v>220</v>
      </c>
    </row>
    <row r="1939" spans="1:4" x14ac:dyDescent="0.25">
      <c r="A1939" t="str">
        <f>T("   580639")</f>
        <v xml:space="preserve">   580639</v>
      </c>
      <c r="B1939" t="str">
        <f>T("   Rubanerie, tissée, en matières textiles, n.d.a. (à l'excl. des articles de coton ou de fibres synthétiques ou artificielles)")</f>
        <v xml:space="preserve">   Rubanerie, tissée, en matières textiles, n.d.a. (à l'excl. des articles de coton ou de fibres synthétiques ou artificielles)</v>
      </c>
      <c r="C1939">
        <v>4583435</v>
      </c>
      <c r="D1939">
        <v>10995</v>
      </c>
    </row>
    <row r="1940" spans="1:4" x14ac:dyDescent="0.25">
      <c r="A1940" t="str">
        <f>T("   580640")</f>
        <v xml:space="preserve">   580640</v>
      </c>
      <c r="B1940" t="str">
        <f>T("   Rubans sans trame, en fils ou fibres parallélisés et encollés [bolducs]")</f>
        <v xml:space="preserve">   Rubans sans trame, en fils ou fibres parallélisés et encollés [bolducs]</v>
      </c>
      <c r="C1940">
        <v>40745</v>
      </c>
      <c r="D1940">
        <v>165</v>
      </c>
    </row>
    <row r="1941" spans="1:4" x14ac:dyDescent="0.25">
      <c r="A1941" t="str">
        <f>T("   580790")</f>
        <v xml:space="preserve">   580790</v>
      </c>
      <c r="B1941" t="str">
        <f>T("   ÉTIQUETTES, ÉCUSSONS ET ARTICLES SIMIL. EN MATIÈRES TEXTILES, EN PIÈCES, EN RUBANS OU DÉCOUPÉS, NON-BRODÉS (À L'EXCL. DES ARTICLES TISSÉS)")</f>
        <v xml:space="preserve">   ÉTIQUETTES, ÉCUSSONS ET ARTICLES SIMIL. EN MATIÈRES TEXTILES, EN PIÈCES, EN RUBANS OU DÉCOUPÉS, NON-BRODÉS (À L'EXCL. DES ARTICLES TISSÉS)</v>
      </c>
      <c r="C1941">
        <v>108893988</v>
      </c>
      <c r="D1941">
        <v>297087</v>
      </c>
    </row>
    <row r="1942" spans="1:4" x14ac:dyDescent="0.25">
      <c r="A1942" t="str">
        <f>T("   581091")</f>
        <v xml:space="preserve">   581091</v>
      </c>
      <c r="B1942" t="str">
        <f>T("   Broderies de coton, sur support de matières textiles, en pièces, en bandes ou en motifs (à l'excl. des broderies chimiques ou aériennes ainsi que des broderies à fond découpé)")</f>
        <v xml:space="preserve">   Broderies de coton, sur support de matières textiles, en pièces, en bandes ou en motifs (à l'excl. des broderies chimiques ou aériennes ainsi que des broderies à fond découpé)</v>
      </c>
      <c r="C1942">
        <v>20007111</v>
      </c>
      <c r="D1942">
        <v>20748</v>
      </c>
    </row>
    <row r="1943" spans="1:4" x14ac:dyDescent="0.25">
      <c r="A1943" t="str">
        <f>T("   581099")</f>
        <v xml:space="preserve">   581099</v>
      </c>
      <c r="B1943"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1943">
        <v>740918632</v>
      </c>
      <c r="D1943">
        <v>1736306</v>
      </c>
    </row>
    <row r="1944" spans="1:4" x14ac:dyDescent="0.25">
      <c r="A1944" t="str">
        <f>T("   590110")</f>
        <v xml:space="preserve">   590110</v>
      </c>
      <c r="B1944" t="str">
        <f>T("   Tissus enduits de colle ou de matières amylacées, des types utilisés pour la reliure, le cartonnage, la gainerie ou usages simil.")</f>
        <v xml:space="preserve">   Tissus enduits de colle ou de matières amylacées, des types utilisés pour la reliure, le cartonnage, la gainerie ou usages simil.</v>
      </c>
      <c r="C1944">
        <v>13453131</v>
      </c>
      <c r="D1944">
        <v>26203</v>
      </c>
    </row>
    <row r="1945" spans="1:4" x14ac:dyDescent="0.25">
      <c r="A1945" t="str">
        <f>T("   590190")</f>
        <v xml:space="preserve">   590190</v>
      </c>
      <c r="B1945" t="str">
        <f>T("   Toiles à calquer ou transparentes pour le dessin; toiles préparées pour la peinture; bougran et tissus simil. raidis des types utilisés pour la chapellerie (à l'excl. des tissus enduits de matière plastique)")</f>
        <v xml:space="preserve">   Toiles à calquer ou transparentes pour le dessin; toiles préparées pour la peinture; bougran et tissus simil. raidis des types utilisés pour la chapellerie (à l'excl. des tissus enduits de matière plastique)</v>
      </c>
      <c r="C1945">
        <v>15939982</v>
      </c>
      <c r="D1945">
        <v>72846</v>
      </c>
    </row>
    <row r="1946" spans="1:4" x14ac:dyDescent="0.25">
      <c r="A1946" t="str">
        <f>T("   590610")</f>
        <v xml:space="preserve">   590610</v>
      </c>
      <c r="B1946" t="str">
        <f>T("   Rubans adhésifs en tissus caoutchoutés, d'une largeur &lt;= 20 cm (à l'excl. des rubans adhésifs imprégnés ou recouverts de substances pharmaceutiques ou conditionnés pour la vente au détail à des fins médicales, chirurgicales, dentaires ou vétérinaires)")</f>
        <v xml:space="preserve">   Rubans adhésifs en tissus caoutchoutés, d'une largeur &lt;= 20 cm (à l'excl. des rubans adhésifs imprégnés ou recouverts de substances pharmaceutiques ou conditionnés pour la vente au détail à des fins médicales, chirurgicales, dentaires ou vétérinaires)</v>
      </c>
      <c r="C1946">
        <v>196789</v>
      </c>
      <c r="D1946">
        <v>265</v>
      </c>
    </row>
    <row r="1947" spans="1:4" x14ac:dyDescent="0.25">
      <c r="A1947" t="str">
        <f>T("   590700")</f>
        <v xml:space="preserve">   590700</v>
      </c>
      <c r="B1947" t="str">
        <f>T("   Tissus imprégnés, enduits ou recouverts, n.d.a.; toiles peintes pour décors de théâtres, fonds d'atelier ou usages analogues")</f>
        <v xml:space="preserve">   Tissus imprégnés, enduits ou recouverts, n.d.a.; toiles peintes pour décors de théâtres, fonds d'atelier ou usages analogues</v>
      </c>
      <c r="C1947">
        <v>12000000</v>
      </c>
      <c r="D1947">
        <v>34240</v>
      </c>
    </row>
    <row r="1948" spans="1:4" x14ac:dyDescent="0.25">
      <c r="A1948" t="str">
        <f>T("   590800")</f>
        <v xml:space="preserve">   590800</v>
      </c>
      <c r="B1948" t="s">
        <v>248</v>
      </c>
      <c r="C1948">
        <v>754117</v>
      </c>
      <c r="D1948">
        <v>552</v>
      </c>
    </row>
    <row r="1949" spans="1:4" x14ac:dyDescent="0.25">
      <c r="A1949" t="str">
        <f>T("   600240")</f>
        <v xml:space="preserve">   600240</v>
      </c>
      <c r="B1949" t="s">
        <v>251</v>
      </c>
      <c r="C1949">
        <v>925146</v>
      </c>
      <c r="D1949">
        <v>1136</v>
      </c>
    </row>
    <row r="1950" spans="1:4" x14ac:dyDescent="0.25">
      <c r="A1950" t="str">
        <f>T("   600510")</f>
        <v xml:space="preserve">   600510</v>
      </c>
      <c r="B1950" t="s">
        <v>252</v>
      </c>
      <c r="C1950">
        <v>500441</v>
      </c>
      <c r="D1950">
        <v>1100</v>
      </c>
    </row>
    <row r="1951" spans="1:4" x14ac:dyDescent="0.25">
      <c r="A1951" t="str">
        <f>T("   610190")</f>
        <v xml:space="preserve">   610190</v>
      </c>
      <c r="B1951" t="s">
        <v>253</v>
      </c>
      <c r="C1951">
        <v>823043</v>
      </c>
      <c r="D1951">
        <v>1712</v>
      </c>
    </row>
    <row r="1952" spans="1:4" x14ac:dyDescent="0.25">
      <c r="A1952" t="str">
        <f>T("   610319")</f>
        <v xml:space="preserve">   610319</v>
      </c>
      <c r="B1952" t="str">
        <f>T("   Costumes ou complets en bonneterie, de matières textiles, pour hommes ou garçonnets (sauf de laine, poils fins ou fibres synthétiques et sauf survêtements de sport 'trainings', combinaisons et ensembles de ski, maillots, culottes et slips de bain)")</f>
        <v xml:space="preserve">   Costumes ou complets en bonneterie, de matières textiles, pour hommes ou garçonnets (sauf de laine, poils fins ou fibres synthétiques et sauf survêtements de sport 'trainings', combinaisons et ensembles de ski, maillots, culottes et slips de bain)</v>
      </c>
      <c r="C1952">
        <v>436209</v>
      </c>
      <c r="D1952">
        <v>1563</v>
      </c>
    </row>
    <row r="1953" spans="1:4" x14ac:dyDescent="0.25">
      <c r="A1953" t="str">
        <f>T("   610329")</f>
        <v xml:space="preserve">   610329</v>
      </c>
      <c r="B1953" t="str">
        <f>T("   Ensembles en bonneterie, de matières textiles, pour hommes et garçonnets (sauf de laine, poils fins, coton, fibres synthétiques et sauf ensembles de ski, maillots, culottes et slips de bain)")</f>
        <v xml:space="preserve">   Ensembles en bonneterie, de matières textiles, pour hommes et garçonnets (sauf de laine, poils fins, coton, fibres synthétiques et sauf ensembles de ski, maillots, culottes et slips de bain)</v>
      </c>
      <c r="C1953">
        <v>4831469</v>
      </c>
      <c r="D1953">
        <v>21217</v>
      </c>
    </row>
    <row r="1954" spans="1:4" x14ac:dyDescent="0.25">
      <c r="A1954" t="str">
        <f>T("   610339")</f>
        <v xml:space="preserve">   610339</v>
      </c>
      <c r="B1954" t="str">
        <f>T("   Vestons en bonneterie, de matières textiles, pour hommes ou garçonnets (sauf de laine, poils fins, coton, fibres synthétiques et sauf anoraks et articles simil.)")</f>
        <v xml:space="preserve">   Vestons en bonneterie, de matières textiles, pour hommes ou garçonnets (sauf de laine, poils fins, coton, fibres synthétiques et sauf anoraks et articles simil.)</v>
      </c>
      <c r="C1954">
        <v>5128250</v>
      </c>
      <c r="D1954">
        <v>12500</v>
      </c>
    </row>
    <row r="1955" spans="1:4" x14ac:dyDescent="0.25">
      <c r="A1955" t="str">
        <f>T("   610349")</f>
        <v xml:space="preserve">   610349</v>
      </c>
      <c r="B1955"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1955">
        <v>143805</v>
      </c>
      <c r="D1955">
        <v>400</v>
      </c>
    </row>
    <row r="1956" spans="1:4" x14ac:dyDescent="0.25">
      <c r="A1956" t="str">
        <f>T("   610429")</f>
        <v xml:space="preserve">   610429</v>
      </c>
      <c r="B1956" t="str">
        <f>T("   ENSEMBLES EN BONNETERIE, DE MATIÈRES TEXTILES, POUR FEMMES ET FILLETTES (SAUF DE COTON, FIBRES SYNTHÉTIQUES ET À L'EXCL. D'ENSEMBLES DE SKI ET MAILLOTS, DES CULOTTES ET SLIPS DE BAIN)")</f>
        <v xml:space="preserve">   ENSEMBLES EN BONNETERIE, DE MATIÈRES TEXTILES, POUR FEMMES ET FILLETTES (SAUF DE COTON, FIBRES SYNTHÉTIQUES ET À L'EXCL. D'ENSEMBLES DE SKI ET MAILLOTS, DES CULOTTES ET SLIPS DE BAIN)</v>
      </c>
      <c r="C1956">
        <v>2067916</v>
      </c>
      <c r="D1956">
        <v>2702</v>
      </c>
    </row>
    <row r="1957" spans="1:4" x14ac:dyDescent="0.25">
      <c r="A1957" t="str">
        <f>T("   610459")</f>
        <v xml:space="preserve">   610459</v>
      </c>
      <c r="B1957" t="str">
        <f>T("   Jupes et jupes-culottes, en bonneterie, de matières textiles, pour femmes ou fillettes (sauf de laine, poils fins, coton, fibres synthétiques et sauf jupons)")</f>
        <v xml:space="preserve">   Jupes et jupes-culottes, en bonneterie, de matières textiles, pour femmes ou fillettes (sauf de laine, poils fins, coton, fibres synthétiques et sauf jupons)</v>
      </c>
      <c r="C1957">
        <v>914600</v>
      </c>
      <c r="D1957">
        <v>896</v>
      </c>
    </row>
    <row r="1958" spans="1:4" x14ac:dyDescent="0.25">
      <c r="A1958" t="str">
        <f>T("   610463")</f>
        <v xml:space="preserve">   610463</v>
      </c>
      <c r="B1958" t="str">
        <f>T("   PANTALONS, Y.C. KNICKERS ET PANTALONS SIMIL., ET CULOTTES, SALOPETTES À BRETELLES ET SHORTS, EN BONNETERIE, DE FIBRES SYNTHÉTIQUES, POUR FEMMES OU FILLETTES (SAUF SLIPS ET MAILLOTS, CULOTTES ET SLIPS DE BAIN)")</f>
        <v xml:space="preserve">   PANTALONS, Y.C. KNICKERS ET PANTALONS SIMIL., ET CULOTTES, SALOPETTES À BRETELLES ET SHORTS, EN BONNETERIE, DE FIBRES SYNTHÉTIQUES, POUR FEMMES OU FILLETTES (SAUF SLIPS ET MAILLOTS, CULOTTES ET SLIPS DE BAIN)</v>
      </c>
      <c r="C1958">
        <v>1407362</v>
      </c>
      <c r="D1958">
        <v>1639</v>
      </c>
    </row>
    <row r="1959" spans="1:4" x14ac:dyDescent="0.25">
      <c r="A1959" t="str">
        <f>T("   610520")</f>
        <v xml:space="preserve">   610520</v>
      </c>
      <c r="B1959" t="str">
        <f>T("   Chemises et chemisettes, en bonneterie, de fibres synthétiques ou artificielles, pour hommes ou garçonnets (sauf chemises de nuit, T-shirts et maillots de corps)")</f>
        <v xml:space="preserve">   Chemises et chemisettes, en bonneterie, de fibres synthétiques ou artificielles, pour hommes ou garçonnets (sauf chemises de nuit, T-shirts et maillots de corps)</v>
      </c>
      <c r="C1959">
        <v>142175</v>
      </c>
      <c r="D1959">
        <v>831</v>
      </c>
    </row>
    <row r="1960" spans="1:4" x14ac:dyDescent="0.25">
      <c r="A1960" t="str">
        <f>T("   610590")</f>
        <v xml:space="preserve">   610590</v>
      </c>
      <c r="B1960"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1960">
        <v>212374054</v>
      </c>
      <c r="D1960">
        <v>354499</v>
      </c>
    </row>
    <row r="1961" spans="1:4" x14ac:dyDescent="0.25">
      <c r="A1961" t="str">
        <f>T("   610690")</f>
        <v xml:space="preserve">   610690</v>
      </c>
      <c r="B1961"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1961">
        <v>2846859</v>
      </c>
      <c r="D1961">
        <v>3930</v>
      </c>
    </row>
    <row r="1962" spans="1:4" x14ac:dyDescent="0.25">
      <c r="A1962" t="str">
        <f>T("   610711")</f>
        <v xml:space="preserve">   610711</v>
      </c>
      <c r="B1962" t="str">
        <f>T("   SLIPS ET CALETHONS, EN BONNETERIE, DE COTON, POUR HOMMES OU GARÇONNETS")</f>
        <v xml:space="preserve">   SLIPS ET CALETHONS, EN BONNETERIE, DE COTON, POUR HOMMES OU GARÇONNETS</v>
      </c>
      <c r="C1962">
        <v>11709868</v>
      </c>
      <c r="D1962">
        <v>17415</v>
      </c>
    </row>
    <row r="1963" spans="1:4" x14ac:dyDescent="0.25">
      <c r="A1963" t="str">
        <f>T("   610719")</f>
        <v xml:space="preserve">   610719</v>
      </c>
      <c r="B1963" t="str">
        <f>T("   SLIPS ET CALETHONS, EN BONNETERIE, DE MATIÈRES TEXTILES, POUR HOMMES OU GARÇONNETS (SAUF DE COTON OU FIBRES SYNTHÉTIQUES OU ARTIFICIELLES)")</f>
        <v xml:space="preserve">   SLIPS ET CALETHONS, EN BONNETERIE, DE MATIÈRES TEXTILES, POUR HOMMES OU GARÇONNETS (SAUF DE COTON OU FIBRES SYNTHÉTIQUES OU ARTIFICIELLES)</v>
      </c>
      <c r="C1963">
        <v>2018668</v>
      </c>
      <c r="D1963">
        <v>19100</v>
      </c>
    </row>
    <row r="1964" spans="1:4" x14ac:dyDescent="0.25">
      <c r="A1964" t="str">
        <f>T("   610799")</f>
        <v xml:space="preserve">   610799</v>
      </c>
      <c r="B1964" t="str">
        <f>T("   Peignoirs de bain, robes de chambre et articles simil., en bonneterie, de matières textiles, pour hommes ou garçonnets (sauf de coton ou fibres synthétiques ou artificielles)")</f>
        <v xml:space="preserve">   Peignoirs de bain, robes de chambre et articles simil., en bonneterie, de matières textiles, pour hommes ou garçonnets (sauf de coton ou fibres synthétiques ou artificielles)</v>
      </c>
      <c r="C1964">
        <v>925146</v>
      </c>
      <c r="D1964">
        <v>6800</v>
      </c>
    </row>
    <row r="1965" spans="1:4" x14ac:dyDescent="0.25">
      <c r="A1965" t="str">
        <f>T("   610821")</f>
        <v xml:space="preserve">   610821</v>
      </c>
      <c r="B1965" t="str">
        <f>T("   Slips et culottes, en bonneterie, de coton, pour femmes ou fillettes")</f>
        <v xml:space="preserve">   Slips et culottes, en bonneterie, de coton, pour femmes ou fillettes</v>
      </c>
      <c r="C1965">
        <v>135779197</v>
      </c>
      <c r="D1965">
        <v>188249</v>
      </c>
    </row>
    <row r="1966" spans="1:4" x14ac:dyDescent="0.25">
      <c r="A1966" t="str">
        <f>T("   610829")</f>
        <v xml:space="preserve">   610829</v>
      </c>
      <c r="B1966" t="str">
        <f>T("   Slips et culottes, en bonneterie, de matières textiles, pour femmes ou fillettes (sauf de coton ou fibres synthétiques ou artificielles)")</f>
        <v xml:space="preserve">   Slips et culottes, en bonneterie, de matières textiles, pour femmes ou fillettes (sauf de coton ou fibres synthétiques ou artificielles)</v>
      </c>
      <c r="C1966">
        <v>174833366</v>
      </c>
      <c r="D1966">
        <v>324739</v>
      </c>
    </row>
    <row r="1967" spans="1:4" x14ac:dyDescent="0.25">
      <c r="A1967" t="str">
        <f>T("   610899")</f>
        <v xml:space="preserve">   610899</v>
      </c>
      <c r="B1967" t="s">
        <v>255</v>
      </c>
      <c r="C1967">
        <v>23698540</v>
      </c>
      <c r="D1967">
        <v>37368</v>
      </c>
    </row>
    <row r="1968" spans="1:4" x14ac:dyDescent="0.25">
      <c r="A1968" t="str">
        <f>T("   610910")</f>
        <v xml:space="preserve">   610910</v>
      </c>
      <c r="B1968" t="str">
        <f>T("   T-shirts et maillots de corps, en bonneterie, de coton,")</f>
        <v xml:space="preserve">   T-shirts et maillots de corps, en bonneterie, de coton,</v>
      </c>
      <c r="C1968">
        <v>107133555</v>
      </c>
      <c r="D1968">
        <v>194646</v>
      </c>
    </row>
    <row r="1969" spans="1:4" x14ac:dyDescent="0.25">
      <c r="A1969" t="str">
        <f>T("   610990")</f>
        <v xml:space="preserve">   610990</v>
      </c>
      <c r="B1969" t="str">
        <f>T("   T-shirts et maillots de corps, en bonneterie, de matières textiles (sauf de coton)")</f>
        <v xml:space="preserve">   T-shirts et maillots de corps, en bonneterie, de matières textiles (sauf de coton)</v>
      </c>
      <c r="C1969">
        <v>477617947</v>
      </c>
      <c r="D1969">
        <v>1310499.5</v>
      </c>
    </row>
    <row r="1970" spans="1:4" x14ac:dyDescent="0.25">
      <c r="A1970" t="str">
        <f>T("   611030")</f>
        <v xml:space="preserve">   611030</v>
      </c>
      <c r="B1970" t="str">
        <f>T("   Chandails, pull-overs, cardigans, gilets et articles simil., y.c. les sous-pulls, en bonneterie, de fibres synthétiques ou artificielles (sauf gilets ouatinés)")</f>
        <v xml:space="preserve">   Chandails, pull-overs, cardigans, gilets et articles simil., y.c. les sous-pulls, en bonneterie, de fibres synthétiques ou artificielles (sauf gilets ouatinés)</v>
      </c>
      <c r="C1970">
        <v>1142483</v>
      </c>
      <c r="D1970">
        <v>1493</v>
      </c>
    </row>
    <row r="1971" spans="1:4" x14ac:dyDescent="0.25">
      <c r="A1971" t="str">
        <f>T("   611130")</f>
        <v xml:space="preserve">   611130</v>
      </c>
      <c r="B1971" t="str">
        <f>T("   Vêtements et accessoires du vêtement, en bonneterie, de fibres synthétiques, pour bébés (sauf bonnets)")</f>
        <v xml:space="preserve">   Vêtements et accessoires du vêtement, en bonneterie, de fibres synthétiques, pour bébés (sauf bonnets)</v>
      </c>
      <c r="C1971">
        <v>7715343</v>
      </c>
      <c r="D1971">
        <v>3908</v>
      </c>
    </row>
    <row r="1972" spans="1:4" x14ac:dyDescent="0.25">
      <c r="A1972" t="str">
        <f>T("   611190")</f>
        <v xml:space="preserve">   611190</v>
      </c>
      <c r="B1972"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1972">
        <v>12008086</v>
      </c>
      <c r="D1972">
        <v>41323</v>
      </c>
    </row>
    <row r="1973" spans="1:4" x14ac:dyDescent="0.25">
      <c r="A1973" t="str">
        <f>T("   611490")</f>
        <v xml:space="preserve">   611490</v>
      </c>
      <c r="B1973"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1973">
        <v>258066417</v>
      </c>
      <c r="D1973">
        <v>676927</v>
      </c>
    </row>
    <row r="1974" spans="1:4" x14ac:dyDescent="0.25">
      <c r="A1974" t="str">
        <f>T("   611592")</f>
        <v xml:space="preserve">   611592</v>
      </c>
      <c r="B1974" t="str">
        <f>T("   BAS ET MI-BAS, CHAUSSETTES ET AUTRES ARTICLES CHAUSSANTS, Y.C. LES BAS À VARICES, EN BONNETERIE, DE COTON (SAUF COLLANTS 'BAS-CULOTTES' BAS ET MI-BAS DE FEMMES À TITRE EN FILS SIMPLES &lt; 67 DÉCITEX ET SAUF ARTICLES CHAUSSANTS POUR BÉBÉS)")</f>
        <v xml:space="preserve">   BAS ET MI-BAS, CHAUSSETTES ET AUTRES ARTICLES CHAUSSANTS, Y.C. LES BAS À VARICES, EN BONNETERIE, DE COTON (SAUF COLLANTS 'BAS-CULOTTES' BAS ET MI-BAS DE FEMMES À TITRE EN FILS SIMPLES &lt; 67 DÉCITEX ET SAUF ARTICLES CHAUSSANTS POUR BÉBÉS)</v>
      </c>
      <c r="C1974">
        <v>25067609</v>
      </c>
      <c r="D1974">
        <v>25893</v>
      </c>
    </row>
    <row r="1975" spans="1:4" x14ac:dyDescent="0.25">
      <c r="A1975" t="str">
        <f>T("   611593")</f>
        <v xml:space="preserve">   611593</v>
      </c>
      <c r="B1975" t="s">
        <v>256</v>
      </c>
      <c r="C1975">
        <v>330000</v>
      </c>
      <c r="D1975">
        <v>300</v>
      </c>
    </row>
    <row r="1976" spans="1:4" x14ac:dyDescent="0.25">
      <c r="A1976" t="str">
        <f>T("   611599")</f>
        <v xml:space="preserve">   611599</v>
      </c>
      <c r="B1976" t="s">
        <v>257</v>
      </c>
      <c r="C1976">
        <v>7344601</v>
      </c>
      <c r="D1976">
        <v>14806</v>
      </c>
    </row>
    <row r="1977" spans="1:4" x14ac:dyDescent="0.25">
      <c r="A1977" t="str">
        <f>T("   620113")</f>
        <v xml:space="preserve">   620113</v>
      </c>
      <c r="B1977" t="str">
        <f>T("   Manteaux, imperméables, cabans, capes et articles simil., de fibres synthétiques ou artificielles, pour hommes ou garçonnets (à l'excl. des articles en bonneterie)")</f>
        <v xml:space="preserve">   Manteaux, imperméables, cabans, capes et articles simil., de fibres synthétiques ou artificielles, pour hommes ou garçonnets (à l'excl. des articles en bonneterie)</v>
      </c>
      <c r="C1977">
        <v>3493555</v>
      </c>
      <c r="D1977">
        <v>5637</v>
      </c>
    </row>
    <row r="1978" spans="1:4" x14ac:dyDescent="0.25">
      <c r="A1978" t="str">
        <f>T("   620219")</f>
        <v xml:space="preserve">   620219</v>
      </c>
      <c r="B1978" t="str">
        <f>T("   Manteaux, imperméables, cabans, capes et articles simil., de matières textiles, pour femmes ou fillettes (autres que laine, poils fins, coton, fibres synthétiques ou artificielles et à l'excl. des articles en bonneterie)")</f>
        <v xml:space="preserve">   Manteaux, imperméables, cabans, capes et articles simil., de matières textiles, pour femmes ou fillettes (autres que laine, poils fins, coton, fibres synthétiques ou artificielles et à l'excl. des articles en bonneterie)</v>
      </c>
      <c r="C1978">
        <v>477639</v>
      </c>
      <c r="D1978">
        <v>975</v>
      </c>
    </row>
    <row r="1979" spans="1:4" x14ac:dyDescent="0.25">
      <c r="A1979" t="str">
        <f>T("   620312")</f>
        <v xml:space="preserve">   620312</v>
      </c>
      <c r="B1979" t="str">
        <f>T("   Costumes ou complets, de fibres synthétiques, pour hommes ou garçonnets (autres qu'en bonneterie et sauf survêtements de sport 'trainings', combinaisons et ensembles de ski, maillots, culottes et slips de bain)")</f>
        <v xml:space="preserve">   Costumes ou complets, de fibres synthétiques, pour hommes ou garçonnets (autres qu'en bonneterie et sauf survêtements de sport 'trainings', combinaisons et ensembles de ski, maillots, culottes et slips de bain)</v>
      </c>
      <c r="C1979">
        <v>16895743</v>
      </c>
      <c r="D1979">
        <v>59847</v>
      </c>
    </row>
    <row r="1980" spans="1:4" x14ac:dyDescent="0.25">
      <c r="A1980" t="str">
        <f>T("   620319")</f>
        <v xml:space="preserve">   620319</v>
      </c>
      <c r="B1980" t="s">
        <v>260</v>
      </c>
      <c r="C1980">
        <v>34872450</v>
      </c>
      <c r="D1980">
        <v>71768</v>
      </c>
    </row>
    <row r="1981" spans="1:4" x14ac:dyDescent="0.25">
      <c r="A1981" t="str">
        <f>T("   620323")</f>
        <v xml:space="preserve">   620323</v>
      </c>
      <c r="B1981" t="str">
        <f>T("   Ensembles de fibres synthétiques, pour hommes ou garçonnets (autres qu'en bonneterie et sauf ensembles de ski et maillots, culottes et slips de bain)")</f>
        <v xml:space="preserve">   Ensembles de fibres synthétiques, pour hommes ou garçonnets (autres qu'en bonneterie et sauf ensembles de ski et maillots, culottes et slips de bain)</v>
      </c>
      <c r="C1981">
        <v>3229860</v>
      </c>
      <c r="D1981">
        <v>2065</v>
      </c>
    </row>
    <row r="1982" spans="1:4" x14ac:dyDescent="0.25">
      <c r="A1982" t="str">
        <f>T("   620329")</f>
        <v xml:space="preserve">   620329</v>
      </c>
      <c r="B1982"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1982">
        <v>54954373</v>
      </c>
      <c r="D1982">
        <v>89298</v>
      </c>
    </row>
    <row r="1983" spans="1:4" x14ac:dyDescent="0.25">
      <c r="A1983" t="str">
        <f>T("   620333")</f>
        <v xml:space="preserve">   620333</v>
      </c>
      <c r="B1983" t="str">
        <f>T("   Vestons de fibres synthétiques, pour hommes ou garçonnets (autres qu'en bonneterie et sauf vêtements de travail, anoraks et articles simil.)")</f>
        <v xml:space="preserve">   Vestons de fibres synthétiques, pour hommes ou garçonnets (autres qu'en bonneterie et sauf vêtements de travail, anoraks et articles simil.)</v>
      </c>
      <c r="C1983">
        <v>361430</v>
      </c>
      <c r="D1983">
        <v>240</v>
      </c>
    </row>
    <row r="1984" spans="1:4" x14ac:dyDescent="0.25">
      <c r="A1984" t="str">
        <f>T("   620339")</f>
        <v xml:space="preserve">   620339</v>
      </c>
      <c r="B1984"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1984">
        <v>26833108</v>
      </c>
      <c r="D1984">
        <v>30500</v>
      </c>
    </row>
    <row r="1985" spans="1:4" x14ac:dyDescent="0.25">
      <c r="A1985" t="str">
        <f>T("   620342")</f>
        <v xml:space="preserve">   620342</v>
      </c>
      <c r="B1985"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1985">
        <v>3196948296</v>
      </c>
      <c r="D1985">
        <v>4767859</v>
      </c>
    </row>
    <row r="1986" spans="1:4" x14ac:dyDescent="0.25">
      <c r="A1986" t="str">
        <f>T("   620343")</f>
        <v xml:space="preserve">   620343</v>
      </c>
      <c r="B1986" t="str">
        <f>T("   Pantalons, y.c. knickers et pantalons simil., salopettes à bretelles, culottes et shorts, de fibres synthétiques, pour hommes ou garçonnets (autres qu'en bonneterie et sauf slips et caleçons et maillots, culottes et slips de bain)")</f>
        <v xml:space="preserve">   Pantalons, y.c. knickers et pantalons simil., salopettes à bretelles, culottes et shorts, de fibres synthétiques, pour hommes ou garçonnets (autres qu'en bonneterie et sauf slips et caleçons et maillots, culottes et slips de bain)</v>
      </c>
      <c r="C1986">
        <v>23268660</v>
      </c>
      <c r="D1986">
        <v>28353</v>
      </c>
    </row>
    <row r="1987" spans="1:4" x14ac:dyDescent="0.25">
      <c r="A1987" t="str">
        <f>T("   620349")</f>
        <v xml:space="preserve">   620349</v>
      </c>
      <c r="B1987" t="s">
        <v>261</v>
      </c>
      <c r="C1987">
        <v>390492762</v>
      </c>
      <c r="D1987">
        <v>676085</v>
      </c>
    </row>
    <row r="1988" spans="1:4" x14ac:dyDescent="0.25">
      <c r="A1988" t="str">
        <f>T("   620413")</f>
        <v xml:space="preserve">   620413</v>
      </c>
      <c r="B1988" t="str">
        <f>T("   Costumes tailleurs, de fibres synthétiques, pour femmes ou fillettes (autres qu'en bonneterie et sauf combinaisons de ski et vêtements de bain)")</f>
        <v xml:space="preserve">   Costumes tailleurs, de fibres synthétiques, pour femmes ou fillettes (autres qu'en bonneterie et sauf combinaisons de ski et vêtements de bain)</v>
      </c>
      <c r="C1988">
        <v>4574375</v>
      </c>
      <c r="D1988">
        <v>52242</v>
      </c>
    </row>
    <row r="1989" spans="1:4" x14ac:dyDescent="0.25">
      <c r="A1989" t="str">
        <f>T("   620419")</f>
        <v xml:space="preserve">   620419</v>
      </c>
      <c r="B1989" t="str">
        <f>T("   Costumes tailleurs, de matières textiles, pour femmes ou fillettes (autres que laine, poils fins, coton ou fibres synthétiques, autres qu'en bonneterie et sauf combinaisons de ski et vêtements de bain)")</f>
        <v xml:space="preserve">   Costumes tailleurs, de matières textiles, pour femmes ou fillettes (autres que laine, poils fins, coton ou fibres synthétiques, autres qu'en bonneterie et sauf combinaisons de ski et vêtements de bain)</v>
      </c>
      <c r="C1989">
        <v>1999848</v>
      </c>
      <c r="D1989">
        <v>76</v>
      </c>
    </row>
    <row r="1990" spans="1:4" x14ac:dyDescent="0.25">
      <c r="A1990" t="str">
        <f>T("   620423")</f>
        <v xml:space="preserve">   620423</v>
      </c>
      <c r="B1990" t="str">
        <f>T("   Ensembles de fibres synthétiques, pour femmes ou fillettes (autres qu'en bonneterie et sauf ensembles de ski et vêtements de bain)")</f>
        <v xml:space="preserve">   Ensembles de fibres synthétiques, pour femmes ou fillettes (autres qu'en bonneterie et sauf ensembles de ski et vêtements de bain)</v>
      </c>
      <c r="C1990">
        <v>3926581</v>
      </c>
      <c r="D1990">
        <v>3353</v>
      </c>
    </row>
    <row r="1991" spans="1:4" x14ac:dyDescent="0.25">
      <c r="A1991" t="str">
        <f>T("   620432")</f>
        <v xml:space="preserve">   620432</v>
      </c>
      <c r="B1991" t="str">
        <f>T("   Vestes de coton, pour femmes ou fillettes (autres qu'en bonneterie et sauf anoraks et articles simil.)")</f>
        <v xml:space="preserve">   Vestes de coton, pour femmes ou fillettes (autres qu'en bonneterie et sauf anoraks et articles simil.)</v>
      </c>
      <c r="C1991">
        <v>3400000</v>
      </c>
      <c r="D1991">
        <v>4000</v>
      </c>
    </row>
    <row r="1992" spans="1:4" x14ac:dyDescent="0.25">
      <c r="A1992" t="str">
        <f>T("   620439")</f>
        <v xml:space="preserve">   620439</v>
      </c>
      <c r="B1992" t="str">
        <f>T("   Vestes de matières textiles, pour femmes ou fillettes (autres que laine, poils fins, coton ou fibres synthétiques, autres qu'en bonneterie et sauf anoraks et articles simil.)")</f>
        <v xml:space="preserve">   Vestes de matières textiles, pour femmes ou fillettes (autres que laine, poils fins, coton ou fibres synthétiques, autres qu'en bonneterie et sauf anoraks et articles simil.)</v>
      </c>
      <c r="C1992">
        <v>2000328</v>
      </c>
      <c r="D1992">
        <v>3665</v>
      </c>
    </row>
    <row r="1993" spans="1:4" x14ac:dyDescent="0.25">
      <c r="A1993" t="str">
        <f>T("   620443")</f>
        <v xml:space="preserve">   620443</v>
      </c>
      <c r="B1993" t="str">
        <f>T("   Robes de fibres synthétiques, pour femmes ou fillettes (autres qu'en bonneterie et sauf combinaisons et fonds de robes)")</f>
        <v xml:space="preserve">   Robes de fibres synthétiques, pour femmes ou fillettes (autres qu'en bonneterie et sauf combinaisons et fonds de robes)</v>
      </c>
      <c r="C1993">
        <v>6911083</v>
      </c>
      <c r="D1993">
        <v>14786</v>
      </c>
    </row>
    <row r="1994" spans="1:4" x14ac:dyDescent="0.25">
      <c r="A1994" t="str">
        <f>T("   620453")</f>
        <v xml:space="preserve">   620453</v>
      </c>
      <c r="B1994" t="str">
        <f>T("   Jupes et jupes-culottes, de fibres synthétiques, pour femmes ou fillettes (autres qu'en bonneterie et sauf jupons)")</f>
        <v xml:space="preserve">   Jupes et jupes-culottes, de fibres synthétiques, pour femmes ou fillettes (autres qu'en bonneterie et sauf jupons)</v>
      </c>
      <c r="C1994">
        <v>1435278</v>
      </c>
      <c r="D1994">
        <v>7690</v>
      </c>
    </row>
    <row r="1995" spans="1:4" x14ac:dyDescent="0.25">
      <c r="A1995" t="str">
        <f>T("   620463")</f>
        <v xml:space="preserve">   620463</v>
      </c>
      <c r="B1995" t="str">
        <f>T("   Pantalons, y.c. knickers et pantalons simil., salopettes à bretelles, culottes et shorts, de fibres synthétiques, pour femmes ou fillettes (autres qu'en bonneterie et sauf slips et vêtements pour le bain)")</f>
        <v xml:space="preserve">   Pantalons, y.c. knickers et pantalons simil., salopettes à bretelles, culottes et shorts, de fibres synthétiques, pour femmes ou fillettes (autres qu'en bonneterie et sauf slips et vêtements pour le bain)</v>
      </c>
      <c r="C1995">
        <v>11216035</v>
      </c>
      <c r="D1995">
        <v>44583</v>
      </c>
    </row>
    <row r="1996" spans="1:4" x14ac:dyDescent="0.25">
      <c r="A1996" t="str">
        <f>T("   620469")</f>
        <v xml:space="preserve">   620469</v>
      </c>
      <c r="B1996" t="s">
        <v>262</v>
      </c>
      <c r="C1996">
        <v>20328380</v>
      </c>
      <c r="D1996">
        <v>25745</v>
      </c>
    </row>
    <row r="1997" spans="1:4" x14ac:dyDescent="0.25">
      <c r="A1997" t="str">
        <f>T("   620520")</f>
        <v xml:space="preserve">   620520</v>
      </c>
      <c r="B1997"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1997">
        <v>522079</v>
      </c>
      <c r="D1997">
        <v>8</v>
      </c>
    </row>
    <row r="1998" spans="1:4" x14ac:dyDescent="0.25">
      <c r="A1998" t="str">
        <f>T("   620530")</f>
        <v xml:space="preserve">   620530</v>
      </c>
      <c r="B1998" t="str">
        <f>T("   Chemises et chemisettes, de fibres synthétiques ou artificielles, pour hommes ou garçonnets (autres qu'en bonneterie et sauf chemises de nuit et gilets de corps)")</f>
        <v xml:space="preserve">   Chemises et chemisettes, de fibres synthétiques ou artificielles, pour hommes ou garçonnets (autres qu'en bonneterie et sauf chemises de nuit et gilets de corps)</v>
      </c>
      <c r="C1998">
        <v>18642880</v>
      </c>
      <c r="D1998">
        <v>10000</v>
      </c>
    </row>
    <row r="1999" spans="1:4" x14ac:dyDescent="0.25">
      <c r="A1999" t="str">
        <f>T("   620590")</f>
        <v xml:space="preserve">   620590</v>
      </c>
      <c r="B199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999">
        <v>81964331</v>
      </c>
      <c r="D1999">
        <v>312864</v>
      </c>
    </row>
    <row r="2000" spans="1:4" x14ac:dyDescent="0.25">
      <c r="A2000" t="str">
        <f>T("   620630")</f>
        <v xml:space="preserve">   620630</v>
      </c>
      <c r="B2000" t="str">
        <f>T("   Chemisiers, blouses, blouses-chemisiers et chemisettes, de coton, pour femmes ou fillettes (autres qu'en bonneterie et sauf gilets de corps et chemises de jour)")</f>
        <v xml:space="preserve">   Chemisiers, blouses, blouses-chemisiers et chemisettes, de coton, pour femmes ou fillettes (autres qu'en bonneterie et sauf gilets de corps et chemises de jour)</v>
      </c>
      <c r="C2000">
        <v>10000000</v>
      </c>
      <c r="D2000">
        <v>11000</v>
      </c>
    </row>
    <row r="2001" spans="1:4" x14ac:dyDescent="0.25">
      <c r="A2001" t="str">
        <f>T("   620690")</f>
        <v xml:space="preserve">   620690</v>
      </c>
      <c r="B2001" t="s">
        <v>263</v>
      </c>
      <c r="C2001">
        <v>7856069</v>
      </c>
      <c r="D2001">
        <v>13785</v>
      </c>
    </row>
    <row r="2002" spans="1:4" x14ac:dyDescent="0.25">
      <c r="A2002" t="str">
        <f>T("   620719")</f>
        <v xml:space="preserve">   620719</v>
      </c>
      <c r="B2002" t="str">
        <f>T("   SLIPS ET CALETHONS, DE MATIÈRES TEXTILES, POUR HOMMES OU GARÇONNETS (AUTRES QUE DE COTON ET AUTRES QU'EN BONNETERIE)")</f>
        <v xml:space="preserve">   SLIPS ET CALETHONS, DE MATIÈRES TEXTILES, POUR HOMMES OU GARÇONNETS (AUTRES QUE DE COTON ET AUTRES QU'EN BONNETERIE)</v>
      </c>
      <c r="C2002">
        <v>9459972</v>
      </c>
      <c r="D2002">
        <v>14000</v>
      </c>
    </row>
    <row r="2003" spans="1:4" x14ac:dyDescent="0.25">
      <c r="A2003" t="str">
        <f>T("   620819")</f>
        <v xml:space="preserve">   620819</v>
      </c>
      <c r="B2003" t="str">
        <f>T("   Combinaisons ou fonds de robes et jupons, de matières textiles, pour femmes ou fillettes (autres que de fibres synthétiques ou artificielles, autres qu'en bonneterie et sauf gilets de corps et chemises de jour)")</f>
        <v xml:space="preserve">   Combinaisons ou fonds de robes et jupons, de matières textiles, pour femmes ou fillettes (autres que de fibres synthétiques ou artificielles, autres qu'en bonneterie et sauf gilets de corps et chemises de jour)</v>
      </c>
      <c r="C2003">
        <v>1060538</v>
      </c>
      <c r="D2003">
        <v>7515</v>
      </c>
    </row>
    <row r="2004" spans="1:4" x14ac:dyDescent="0.25">
      <c r="A2004" t="str">
        <f>T("   620920")</f>
        <v xml:space="preserve">   620920</v>
      </c>
      <c r="B2004" t="str">
        <f>T("   Vêtements et accessoires du vêtement, de coton, pour bébés (autres qu'en bonneterie et sauf bonnets)")</f>
        <v xml:space="preserve">   Vêtements et accessoires du vêtement, de coton, pour bébés (autres qu'en bonneterie et sauf bonnets)</v>
      </c>
      <c r="C2004">
        <v>25247781</v>
      </c>
      <c r="D2004">
        <v>30666</v>
      </c>
    </row>
    <row r="2005" spans="1:4" x14ac:dyDescent="0.25">
      <c r="A2005" t="str">
        <f>T("   620930")</f>
        <v xml:space="preserve">   620930</v>
      </c>
      <c r="B2005" t="str">
        <f>T("   Vêtements et accessoires du vêtement, de fibres synthétiques, pour bébés (autres qu'en bonneterie et sauf bonnets)")</f>
        <v xml:space="preserve">   Vêtements et accessoires du vêtement, de fibres synthétiques, pour bébés (autres qu'en bonneterie et sauf bonnets)</v>
      </c>
      <c r="C2005">
        <v>6649068</v>
      </c>
      <c r="D2005">
        <v>37723</v>
      </c>
    </row>
    <row r="2006" spans="1:4" x14ac:dyDescent="0.25">
      <c r="A2006" t="str">
        <f>T("   620990")</f>
        <v xml:space="preserve">   620990</v>
      </c>
      <c r="B2006"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2006">
        <v>716149</v>
      </c>
      <c r="D2006">
        <v>1230</v>
      </c>
    </row>
    <row r="2007" spans="1:4" x14ac:dyDescent="0.25">
      <c r="A2007" t="str">
        <f>T("   621040")</f>
        <v xml:space="preserve">   621040</v>
      </c>
      <c r="B2007" t="s">
        <v>265</v>
      </c>
      <c r="C2007">
        <v>1917330894</v>
      </c>
      <c r="D2007">
        <v>4346629</v>
      </c>
    </row>
    <row r="2008" spans="1:4" x14ac:dyDescent="0.25">
      <c r="A2008" t="str">
        <f>T("   621050")</f>
        <v xml:space="preserve">   621050</v>
      </c>
      <c r="B2008" t="s">
        <v>266</v>
      </c>
      <c r="C2008">
        <v>576764</v>
      </c>
      <c r="D2008">
        <v>110</v>
      </c>
    </row>
    <row r="2009" spans="1:4" x14ac:dyDescent="0.25">
      <c r="A2009" t="str">
        <f>T("   621112")</f>
        <v xml:space="preserve">   621112</v>
      </c>
      <c r="B2009" t="str">
        <f>T("   Maillots, culottes et slips de bain, pour femmes ou fillettes (autres qu'en bonneterie)")</f>
        <v xml:space="preserve">   Maillots, culottes et slips de bain, pour femmes ou fillettes (autres qu'en bonneterie)</v>
      </c>
      <c r="C2009">
        <v>1190707</v>
      </c>
      <c r="D2009">
        <v>2100</v>
      </c>
    </row>
    <row r="2010" spans="1:4" x14ac:dyDescent="0.25">
      <c r="A2010" t="str">
        <f>T("   621131")</f>
        <v xml:space="preserve">   621131</v>
      </c>
      <c r="B2010" t="str">
        <f>T("   Survêtements de sport 'trainings' et autres vêtements n.d.a., de laine ou poils fins, pour hommes ou garçonnets (autres qu'en bonneterie)")</f>
        <v xml:space="preserve">   Survêtements de sport 'trainings' et autres vêtements n.d.a., de laine ou poils fins, pour hommes ou garçonnets (autres qu'en bonneterie)</v>
      </c>
      <c r="C2010">
        <v>488405</v>
      </c>
      <c r="D2010">
        <v>2345</v>
      </c>
    </row>
    <row r="2011" spans="1:4" x14ac:dyDescent="0.25">
      <c r="A2011" t="str">
        <f>T("   621133")</f>
        <v xml:space="preserve">   621133</v>
      </c>
      <c r="B2011" t="str">
        <f>T("   Survêtements de sport 'trainings' et autres vêtements n.d.a., de fibres synthétiques ou artificielles, pour hommes ou garçonnets (autres qu'en bonneterie)")</f>
        <v xml:space="preserve">   Survêtements de sport 'trainings' et autres vêtements n.d.a., de fibres synthétiques ou artificielles, pour hommes ou garçonnets (autres qu'en bonneterie)</v>
      </c>
      <c r="C2011">
        <v>20377699</v>
      </c>
      <c r="D2011">
        <v>29547</v>
      </c>
    </row>
    <row r="2012" spans="1:4" x14ac:dyDescent="0.25">
      <c r="A2012" t="str">
        <f>T("   621139")</f>
        <v xml:space="preserve">   621139</v>
      </c>
      <c r="B2012"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2012">
        <v>8542710</v>
      </c>
      <c r="D2012">
        <v>30052</v>
      </c>
    </row>
    <row r="2013" spans="1:4" x14ac:dyDescent="0.25">
      <c r="A2013" t="str">
        <f>T("   621143")</f>
        <v xml:space="preserve">   621143</v>
      </c>
      <c r="B2013" t="str">
        <f>T("   Survêtements de sport 'trainings' et autres vêtements n.d.a., de fibres synthétiques ou artificielles, pour femmes ou fillettes (autres qu'en bonneterie)")</f>
        <v xml:space="preserve">   Survêtements de sport 'trainings' et autres vêtements n.d.a., de fibres synthétiques ou artificielles, pour femmes ou fillettes (autres qu'en bonneterie)</v>
      </c>
      <c r="C2013">
        <v>17936947</v>
      </c>
      <c r="D2013">
        <v>61634</v>
      </c>
    </row>
    <row r="2014" spans="1:4" x14ac:dyDescent="0.25">
      <c r="A2014" t="str">
        <f>T("   621149")</f>
        <v xml:space="preserve">   621149</v>
      </c>
      <c r="B2014"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2014">
        <v>586245</v>
      </c>
      <c r="D2014">
        <v>610</v>
      </c>
    </row>
    <row r="2015" spans="1:4" x14ac:dyDescent="0.25">
      <c r="A2015" t="str">
        <f>T("   621210")</f>
        <v xml:space="preserve">   621210</v>
      </c>
      <c r="B2015" t="str">
        <f>T("   Soutiens-gorge et bustiers en tous types de matières textiles, même élastiques et même en bonneterie")</f>
        <v xml:space="preserve">   Soutiens-gorge et bustiers en tous types de matières textiles, même élastiques et même en bonneterie</v>
      </c>
      <c r="C2015">
        <v>73715523</v>
      </c>
      <c r="D2015">
        <v>99417</v>
      </c>
    </row>
    <row r="2016" spans="1:4" x14ac:dyDescent="0.25">
      <c r="A2016" t="str">
        <f>T("   621290")</f>
        <v xml:space="preserve">   621290</v>
      </c>
      <c r="B2016" t="s">
        <v>267</v>
      </c>
      <c r="C2016">
        <v>14774047</v>
      </c>
      <c r="D2016">
        <v>23278</v>
      </c>
    </row>
    <row r="2017" spans="1:4" x14ac:dyDescent="0.25">
      <c r="A2017" t="str">
        <f>T("   621390")</f>
        <v xml:space="preserve">   621390</v>
      </c>
      <c r="B2017" t="str">
        <f>T("   Mouchoirs et pochettes dont un côté &lt;= 60 cm, de matières textiles (autres que de soie et déchets de soie ou coton, autres qu'en bonneterie)")</f>
        <v xml:space="preserve">   Mouchoirs et pochettes dont un côté &lt;= 60 cm, de matières textiles (autres que de soie et déchets de soie ou coton, autres qu'en bonneterie)</v>
      </c>
      <c r="C2017">
        <v>29032916</v>
      </c>
      <c r="D2017">
        <v>53000</v>
      </c>
    </row>
    <row r="2018" spans="1:4" x14ac:dyDescent="0.25">
      <c r="A2018" t="str">
        <f>T("   621430")</f>
        <v xml:space="preserve">   621430</v>
      </c>
      <c r="B2018" t="str">
        <f>T("   Châles, écharpes, foulards, cache-nez, cache-col, mantilles, voiles et voilettes et articles simil., de fibres synthétiques (autres qu'en bonneterie)")</f>
        <v xml:space="preserve">   Châles, écharpes, foulards, cache-nez, cache-col, mantilles, voiles et voilettes et articles simil., de fibres synthétiques (autres qu'en bonneterie)</v>
      </c>
      <c r="C2018">
        <v>7432460</v>
      </c>
      <c r="D2018">
        <v>17200</v>
      </c>
    </row>
    <row r="2019" spans="1:4" x14ac:dyDescent="0.25">
      <c r="A2019" t="str">
        <f>T("   621490")</f>
        <v xml:space="preserve">   621490</v>
      </c>
      <c r="B2019"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2019">
        <v>12294514</v>
      </c>
      <c r="D2019">
        <v>49384</v>
      </c>
    </row>
    <row r="2020" spans="1:4" x14ac:dyDescent="0.25">
      <c r="A2020" t="str">
        <f>T("   621710")</f>
        <v xml:space="preserve">   621710</v>
      </c>
      <c r="B2020" t="str">
        <f>T("   Accessoires confectionnés du vêtement en tous types de matières textiles, n.d.a. (autres qu'en bonneterie)")</f>
        <v xml:space="preserve">   Accessoires confectionnés du vêtement en tous types de matières textiles, n.d.a. (autres qu'en bonneterie)</v>
      </c>
      <c r="C2020">
        <v>14828032</v>
      </c>
      <c r="D2020">
        <v>6065</v>
      </c>
    </row>
    <row r="2021" spans="1:4" x14ac:dyDescent="0.25">
      <c r="A2021" t="str">
        <f>T("   630140")</f>
        <v xml:space="preserve">   630140</v>
      </c>
      <c r="B2021" t="str">
        <f>T("   Couvertures de fibres synthétiques (autres que chauffantes électriques et sauf linge de table, couvre-lits, linge de lit et les articles simil. du n° 9404 [sommiers et autres articles de literie])")</f>
        <v xml:space="preserve">   Couvertures de fibres synthétiques (autres que chauffantes électriques et sauf linge de table, couvre-lits, linge de lit et les articles simil. du n° 9404 [sommiers et autres articles de literie])</v>
      </c>
      <c r="C2021">
        <v>670131</v>
      </c>
      <c r="D2021">
        <v>75</v>
      </c>
    </row>
    <row r="2022" spans="1:4" x14ac:dyDescent="0.25">
      <c r="A2022" t="str">
        <f>T("   630190")</f>
        <v xml:space="preserve">   630190</v>
      </c>
      <c r="B2022" t="s">
        <v>268</v>
      </c>
      <c r="C2022">
        <v>5989768</v>
      </c>
      <c r="D2022">
        <v>26200</v>
      </c>
    </row>
    <row r="2023" spans="1:4" x14ac:dyDescent="0.25">
      <c r="A2023" t="str">
        <f>T("   630210")</f>
        <v xml:space="preserve">   630210</v>
      </c>
      <c r="B2023" t="str">
        <f>T("   LINGE DE LIT EN BONNETERIE")</f>
        <v xml:space="preserve">   LINGE DE LIT EN BONNETERIE</v>
      </c>
      <c r="C2023">
        <v>46582004</v>
      </c>
      <c r="D2023">
        <v>91580</v>
      </c>
    </row>
    <row r="2024" spans="1:4" x14ac:dyDescent="0.25">
      <c r="A2024" t="str">
        <f>T("   630229")</f>
        <v xml:space="preserve">   630229</v>
      </c>
      <c r="B2024"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2024">
        <v>66875884</v>
      </c>
      <c r="D2024">
        <v>136964</v>
      </c>
    </row>
    <row r="2025" spans="1:4" x14ac:dyDescent="0.25">
      <c r="A2025" t="str">
        <f>T("   630239")</f>
        <v xml:space="preserve">   630239</v>
      </c>
      <c r="B2025"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2025">
        <v>1655100</v>
      </c>
      <c r="D2025">
        <v>5295</v>
      </c>
    </row>
    <row r="2026" spans="1:4" x14ac:dyDescent="0.25">
      <c r="A2026" t="str">
        <f>T("   630251")</f>
        <v xml:space="preserve">   630251</v>
      </c>
      <c r="B2026" t="str">
        <f>T("   Linge de table de coton (autre qu'en bonneterie)")</f>
        <v xml:space="preserve">   Linge de table de coton (autre qu'en bonneterie)</v>
      </c>
      <c r="C2026">
        <v>1077464</v>
      </c>
      <c r="D2026">
        <v>683</v>
      </c>
    </row>
    <row r="2027" spans="1:4" x14ac:dyDescent="0.25">
      <c r="A2027" t="str">
        <f>T("   630253")</f>
        <v xml:space="preserve">   630253</v>
      </c>
      <c r="B2027" t="str">
        <f>T("   Linge de table de fibres synthétiques ou artificielles (autres qu'en bonneterie)")</f>
        <v xml:space="preserve">   Linge de table de fibres synthétiques ou artificielles (autres qu'en bonneterie)</v>
      </c>
      <c r="C2027">
        <v>5298260</v>
      </c>
      <c r="D2027">
        <v>2052</v>
      </c>
    </row>
    <row r="2028" spans="1:4" x14ac:dyDescent="0.25">
      <c r="A2028" t="str">
        <f>T("   630260")</f>
        <v xml:space="preserve">   630260</v>
      </c>
      <c r="B2028"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2028">
        <v>28083140</v>
      </c>
      <c r="D2028">
        <v>44721</v>
      </c>
    </row>
    <row r="2029" spans="1:4" x14ac:dyDescent="0.25">
      <c r="A2029" t="str">
        <f>T("   630293")</f>
        <v xml:space="preserve">   630293</v>
      </c>
      <c r="B2029" t="str">
        <f>T("   Linge de toilette ou de cuisine, de fibres synthétiques ou artificielles (sauf serpillières, chiffons à parquet, lavettes et chamoisettes)")</f>
        <v xml:space="preserve">   Linge de toilette ou de cuisine, de fibres synthétiques ou artificielles (sauf serpillières, chiffons à parquet, lavettes et chamoisettes)</v>
      </c>
      <c r="C2029">
        <v>3485128</v>
      </c>
      <c r="D2029">
        <v>1536</v>
      </c>
    </row>
    <row r="2030" spans="1:4" x14ac:dyDescent="0.25">
      <c r="A2030" t="str">
        <f>T("   630299")</f>
        <v xml:space="preserve">   630299</v>
      </c>
      <c r="B2030" t="str">
        <f>T("   LINGE DE TOILETTE OU DE CUISINE, DE MATIÈRES TEXTILES (AUTRE QUE DE COTON, FIBRES SYNTHÉTIQUES OU ARTIFICIELLES ET SAUF SERPILLIÈRES, CHIFFONS À PARQUET, LAVETTES ET CHAMOISETTES)")</f>
        <v xml:space="preserve">   LINGE DE TOILETTE OU DE CUISINE, DE MATIÈRES TEXTILES (AUTRE QUE DE COTON, FIBRES SYNTHÉTIQUES OU ARTIFICIELLES ET SAUF SERPILLIÈRES, CHIFFONS À PARQUET, LAVETTES ET CHAMOISETTES)</v>
      </c>
      <c r="C2030">
        <v>41019845</v>
      </c>
      <c r="D2030">
        <v>68825</v>
      </c>
    </row>
    <row r="2031" spans="1:4" x14ac:dyDescent="0.25">
      <c r="A2031" t="str">
        <f>T("   630319")</f>
        <v xml:space="preserve">   630319</v>
      </c>
      <c r="B2031"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2031">
        <v>13609415</v>
      </c>
      <c r="D2031">
        <v>24893</v>
      </c>
    </row>
    <row r="2032" spans="1:4" x14ac:dyDescent="0.25">
      <c r="A2032" t="str">
        <f>T("   630392")</f>
        <v xml:space="preserve">   630392</v>
      </c>
      <c r="B2032" t="str">
        <f>T("   Vitrages, rideaux et stores d'intérieur ainsi que cantonnières et tours de lit, de fibres synthétiques (autres qu'en bonneterie et autres que stores d'extérieur)")</f>
        <v xml:space="preserve">   Vitrages, rideaux et stores d'intérieur ainsi que cantonnières et tours de lit, de fibres synthétiques (autres qu'en bonneterie et autres que stores d'extérieur)</v>
      </c>
      <c r="C2032">
        <v>36323529</v>
      </c>
      <c r="D2032">
        <v>47294</v>
      </c>
    </row>
    <row r="2033" spans="1:4" x14ac:dyDescent="0.25">
      <c r="A2033" t="str">
        <f>T("   630399")</f>
        <v xml:space="preserve">   630399</v>
      </c>
      <c r="B2033"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2033">
        <v>10138753</v>
      </c>
      <c r="D2033">
        <v>42009</v>
      </c>
    </row>
    <row r="2034" spans="1:4" x14ac:dyDescent="0.25">
      <c r="A2034" t="str">
        <f>T("   630419")</f>
        <v xml:space="preserve">   630419</v>
      </c>
      <c r="B2034" t="str">
        <f>T("   Couvre-lits en tous types de matières textiles (autres qu'en bonneterie et sauf linge de lit, couvre-pieds et édredons)")</f>
        <v xml:space="preserve">   Couvre-lits en tous types de matières textiles (autres qu'en bonneterie et sauf linge de lit, couvre-pieds et édredons)</v>
      </c>
      <c r="C2034">
        <v>15552611</v>
      </c>
      <c r="D2034">
        <v>53810</v>
      </c>
    </row>
    <row r="2035" spans="1:4" x14ac:dyDescent="0.25">
      <c r="A2035" t="str">
        <f>T("   630491")</f>
        <v xml:space="preserve">   630491</v>
      </c>
      <c r="B2035" t="s">
        <v>269</v>
      </c>
      <c r="C2035">
        <v>4319198936</v>
      </c>
      <c r="D2035">
        <v>1568064</v>
      </c>
    </row>
    <row r="2036" spans="1:4" x14ac:dyDescent="0.25">
      <c r="A2036" t="str">
        <f>T("   630493")</f>
        <v xml:space="preserve">   630493</v>
      </c>
      <c r="B2036" t="s">
        <v>270</v>
      </c>
      <c r="C2036">
        <v>37696423</v>
      </c>
      <c r="D2036">
        <v>93654</v>
      </c>
    </row>
    <row r="2037" spans="1:4" x14ac:dyDescent="0.25">
      <c r="A2037" t="str">
        <f>T("   630510")</f>
        <v xml:space="preserve">   630510</v>
      </c>
      <c r="B2037" t="str">
        <f>T("   Sacs et sachets d'emballage de jute ou d'autres fibres textiles libériennes du n° 5303")</f>
        <v xml:space="preserve">   Sacs et sachets d'emballage de jute ou d'autres fibres textiles libériennes du n° 5303</v>
      </c>
      <c r="C2037">
        <v>18199156</v>
      </c>
      <c r="D2037">
        <v>318902</v>
      </c>
    </row>
    <row r="2038" spans="1:4" x14ac:dyDescent="0.25">
      <c r="A2038" t="str">
        <f>T("   630533")</f>
        <v xml:space="preserve">   630533</v>
      </c>
      <c r="B2038"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2038">
        <v>8986988</v>
      </c>
      <c r="D2038">
        <v>36775</v>
      </c>
    </row>
    <row r="2039" spans="1:4" x14ac:dyDescent="0.25">
      <c r="A2039" t="str">
        <f>T("   630649")</f>
        <v xml:space="preserve">   630649</v>
      </c>
      <c r="B2039" t="str">
        <f>T("   Matelas pneumatiques de matières textiles (autres que de coton)")</f>
        <v xml:space="preserve">   Matelas pneumatiques de matières textiles (autres que de coton)</v>
      </c>
      <c r="C2039">
        <v>2034913</v>
      </c>
      <c r="D2039">
        <v>5966</v>
      </c>
    </row>
    <row r="2040" spans="1:4" x14ac:dyDescent="0.25">
      <c r="A2040" t="str">
        <f>T("   630699")</f>
        <v xml:space="preserve">   630699</v>
      </c>
      <c r="B2040" t="str">
        <f>T("   Articles de camping, de matières textiles (autres que de coton et sauf tentes et matelas pneumatiques, stores d'extérieur, voiles, sacs à dos, sacs à bandoulière et conditionnements simil. et sauf sacs de couchage, matelas et coussins rembourrés)")</f>
        <v xml:space="preserve">   Articles de camping, de matières textiles (autres que de coton et sauf tentes et matelas pneumatiques, stores d'extérieur, voiles, sacs à dos, sacs à bandoulière et conditionnements simil. et sauf sacs de couchage, matelas et coussins rembourrés)</v>
      </c>
      <c r="C2040">
        <v>132300</v>
      </c>
      <c r="D2040">
        <v>300</v>
      </c>
    </row>
    <row r="2041" spans="1:4" x14ac:dyDescent="0.25">
      <c r="A2041" t="str">
        <f>T("   630710")</f>
        <v xml:space="preserve">   630710</v>
      </c>
      <c r="B2041" t="str">
        <f>T("   Serpillières ou wassingues, lavettes, chamoisettes et articles d'entretien simil. en tous types de matières textiles")</f>
        <v xml:space="preserve">   Serpillières ou wassingues, lavettes, chamoisettes et articles d'entretien simil. en tous types de matières textiles</v>
      </c>
      <c r="C2041">
        <v>577711</v>
      </c>
      <c r="D2041">
        <v>1102</v>
      </c>
    </row>
    <row r="2042" spans="1:4" x14ac:dyDescent="0.25">
      <c r="A2042" t="str">
        <f>T("   630720")</f>
        <v xml:space="preserve">   630720</v>
      </c>
      <c r="B2042" t="str">
        <f>T("   Ceintures et gilets de sauvetage en tous types de matières textiles")</f>
        <v xml:space="preserve">   Ceintures et gilets de sauvetage en tous types de matières textiles</v>
      </c>
      <c r="C2042">
        <v>160582</v>
      </c>
      <c r="D2042">
        <v>1704</v>
      </c>
    </row>
    <row r="2043" spans="1:4" x14ac:dyDescent="0.25">
      <c r="A2043" t="str">
        <f>T("   630790")</f>
        <v xml:space="preserve">   630790</v>
      </c>
      <c r="B2043" t="str">
        <f>T("   Articles de matières textiles, confectionnés, y.c. les patrons de vêtements n.d.a.")</f>
        <v xml:space="preserve">   Articles de matières textiles, confectionnés, y.c. les patrons de vêtements n.d.a.</v>
      </c>
      <c r="C2043">
        <v>7299219</v>
      </c>
      <c r="D2043">
        <v>11625</v>
      </c>
    </row>
    <row r="2044" spans="1:4" x14ac:dyDescent="0.25">
      <c r="A2044" t="str">
        <f>T("   630800")</f>
        <v xml:space="preserve">   630800</v>
      </c>
      <c r="B2044" t="s">
        <v>272</v>
      </c>
      <c r="C2044">
        <v>6232</v>
      </c>
      <c r="D2044">
        <v>21</v>
      </c>
    </row>
    <row r="2045" spans="1:4" x14ac:dyDescent="0.25">
      <c r="A2045" t="str">
        <f>T("   630900")</f>
        <v xml:space="preserve">   630900</v>
      </c>
      <c r="B2045" t="s">
        <v>273</v>
      </c>
      <c r="C2045">
        <v>1697425920</v>
      </c>
      <c r="D2045">
        <v>3275573</v>
      </c>
    </row>
    <row r="2046" spans="1:4" x14ac:dyDescent="0.25">
      <c r="A2046" t="str">
        <f>T("   640191")</f>
        <v xml:space="preserve">   640191</v>
      </c>
      <c r="B2046" t="s">
        <v>274</v>
      </c>
      <c r="C2046">
        <v>426374</v>
      </c>
      <c r="D2046">
        <v>1821</v>
      </c>
    </row>
    <row r="2047" spans="1:4" x14ac:dyDescent="0.25">
      <c r="A2047" t="str">
        <f>T("   640192")</f>
        <v xml:space="preserve">   640192</v>
      </c>
      <c r="B2047" t="s">
        <v>275</v>
      </c>
      <c r="C2047">
        <v>3074378</v>
      </c>
      <c r="D2047">
        <v>6586</v>
      </c>
    </row>
    <row r="2048" spans="1:4" x14ac:dyDescent="0.25">
      <c r="A2048" t="str">
        <f>T("   640219")</f>
        <v xml:space="preserve">   640219</v>
      </c>
      <c r="B2048" t="s">
        <v>276</v>
      </c>
      <c r="C2048">
        <v>1716666</v>
      </c>
      <c r="D2048">
        <v>4310</v>
      </c>
    </row>
    <row r="2049" spans="1:4" x14ac:dyDescent="0.25">
      <c r="A2049" t="str">
        <f>T("   640220")</f>
        <v xml:space="preserve">   640220</v>
      </c>
      <c r="B2049"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2049">
        <v>71666740</v>
      </c>
      <c r="D2049">
        <v>382619</v>
      </c>
    </row>
    <row r="2050" spans="1:4" x14ac:dyDescent="0.25">
      <c r="A2050" t="str">
        <f>T("   640299")</f>
        <v xml:space="preserve">   640299</v>
      </c>
      <c r="B2050" t="s">
        <v>278</v>
      </c>
      <c r="C2050">
        <v>2040674245</v>
      </c>
      <c r="D2050">
        <v>4243415</v>
      </c>
    </row>
    <row r="2051" spans="1:4" x14ac:dyDescent="0.25">
      <c r="A2051" t="str">
        <f>T("   640340")</f>
        <v xml:space="preserve">   640340</v>
      </c>
      <c r="B2051"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2051">
        <v>1297489</v>
      </c>
      <c r="D2051">
        <v>1026</v>
      </c>
    </row>
    <row r="2052" spans="1:4" x14ac:dyDescent="0.25">
      <c r="A2052" t="str">
        <f>T("   640359")</f>
        <v xml:space="preserve">   640359</v>
      </c>
      <c r="B2052" t="s">
        <v>280</v>
      </c>
      <c r="C2052">
        <v>201327</v>
      </c>
      <c r="D2052">
        <v>728</v>
      </c>
    </row>
    <row r="2053" spans="1:4" x14ac:dyDescent="0.25">
      <c r="A2053" t="str">
        <f>T("   640399")</f>
        <v xml:space="preserve">   640399</v>
      </c>
      <c r="B2053" t="s">
        <v>281</v>
      </c>
      <c r="C2053">
        <v>5405000</v>
      </c>
      <c r="D2053">
        <v>16967</v>
      </c>
    </row>
    <row r="2054" spans="1:4" x14ac:dyDescent="0.25">
      <c r="A2054" t="str">
        <f>T("   640419")</f>
        <v xml:space="preserve">   640419</v>
      </c>
      <c r="B2054" t="s">
        <v>282</v>
      </c>
      <c r="C2054">
        <v>22108974</v>
      </c>
      <c r="D2054">
        <v>64429</v>
      </c>
    </row>
    <row r="2055" spans="1:4" x14ac:dyDescent="0.25">
      <c r="A2055" t="str">
        <f>T("   640420")</f>
        <v xml:space="preserve">   640420</v>
      </c>
      <c r="B2055" t="str">
        <f>T("   Chaussures à semelles extérieures en cuir naturel ou reconstitué, à dessus en matières textiles (sauf chaussures ayant le caractère de jouets)")</f>
        <v xml:space="preserve">   Chaussures à semelles extérieures en cuir naturel ou reconstitué, à dessus en matières textiles (sauf chaussures ayant le caractère de jouets)</v>
      </c>
      <c r="C2055">
        <v>5528726</v>
      </c>
      <c r="D2055">
        <v>15022</v>
      </c>
    </row>
    <row r="2056" spans="1:4" x14ac:dyDescent="0.25">
      <c r="A2056" t="str">
        <f>T("   640590")</f>
        <v xml:space="preserve">   640590</v>
      </c>
      <c r="B2056" t="s">
        <v>283</v>
      </c>
      <c r="C2056">
        <v>836076033</v>
      </c>
      <c r="D2056">
        <v>3231510</v>
      </c>
    </row>
    <row r="2057" spans="1:4" x14ac:dyDescent="0.25">
      <c r="A2057" t="str">
        <f>T("   640610")</f>
        <v xml:space="preserve">   640610</v>
      </c>
      <c r="B2057" t="str">
        <f>T("   Dessus de chaussures et leurs parties (sauf contreforts et bouts durs et sauf les parties en amiante)")</f>
        <v xml:space="preserve">   Dessus de chaussures et leurs parties (sauf contreforts et bouts durs et sauf les parties en amiante)</v>
      </c>
      <c r="C2057">
        <v>253097</v>
      </c>
      <c r="D2057">
        <v>100</v>
      </c>
    </row>
    <row r="2058" spans="1:4" x14ac:dyDescent="0.25">
      <c r="A2058" t="str">
        <f>T("   650400")</f>
        <v xml:space="preserve">   650400</v>
      </c>
      <c r="B2058" t="str">
        <f>T("   Chapeaux et autres coiffures, tressés ou fabriqués par l'assemblage de bandes en toutes matières, même garnis (sauf coiffures pour animaux ou ayant le caractère de jouets ou d'articles de carnaval)")</f>
        <v xml:space="preserve">   Chapeaux et autres coiffures, tressés ou fabriqués par l'assemblage de bandes en toutes matières, même garnis (sauf coiffures pour animaux ou ayant le caractère de jouets ou d'articles de carnaval)</v>
      </c>
      <c r="C2058">
        <v>643091</v>
      </c>
      <c r="D2058">
        <v>5190</v>
      </c>
    </row>
    <row r="2059" spans="1:4" x14ac:dyDescent="0.25">
      <c r="A2059" t="str">
        <f>T("   650510")</f>
        <v xml:space="preserve">   650510</v>
      </c>
      <c r="B2059" t="str">
        <f>T("   Résilles et filets à cheveux en toutes matières, même garnis")</f>
        <v xml:space="preserve">   Résilles et filets à cheveux en toutes matières, même garnis</v>
      </c>
      <c r="C2059">
        <v>794368</v>
      </c>
      <c r="D2059">
        <v>1643</v>
      </c>
    </row>
    <row r="2060" spans="1:4" x14ac:dyDescent="0.25">
      <c r="A2060" t="str">
        <f>T("   650590")</f>
        <v xml:space="preserve">   650590</v>
      </c>
      <c r="B2060" t="s">
        <v>284</v>
      </c>
      <c r="C2060">
        <v>19453007</v>
      </c>
      <c r="D2060">
        <v>45114</v>
      </c>
    </row>
    <row r="2061" spans="1:4" x14ac:dyDescent="0.25">
      <c r="A2061" t="str">
        <f>T("   650610")</f>
        <v xml:space="preserve">   650610</v>
      </c>
      <c r="B2061" t="str">
        <f>T("   Coiffures de sécurité, même garnies")</f>
        <v xml:space="preserve">   Coiffures de sécurité, même garnies</v>
      </c>
      <c r="C2061">
        <v>24063422</v>
      </c>
      <c r="D2061">
        <v>28059</v>
      </c>
    </row>
    <row r="2062" spans="1:4" x14ac:dyDescent="0.25">
      <c r="A2062" t="str">
        <f>T("   650691")</f>
        <v xml:space="preserve">   650691</v>
      </c>
      <c r="B2062" t="s">
        <v>285</v>
      </c>
      <c r="C2062">
        <v>4984450</v>
      </c>
      <c r="D2062">
        <v>1470</v>
      </c>
    </row>
    <row r="2063" spans="1:4" x14ac:dyDescent="0.25">
      <c r="A2063" t="str">
        <f>T("   650699")</f>
        <v xml:space="preserve">   650699</v>
      </c>
      <c r="B2063" t="str">
        <f>T("   Chapeaux et autres coiffures, même garnis, n.d.a.")</f>
        <v xml:space="preserve">   Chapeaux et autres coiffures, même garnis, n.d.a.</v>
      </c>
      <c r="C2063">
        <v>2768904</v>
      </c>
      <c r="D2063">
        <v>7574</v>
      </c>
    </row>
    <row r="2064" spans="1:4" x14ac:dyDescent="0.25">
      <c r="A2064" t="str">
        <f>T("   660110")</f>
        <v xml:space="preserve">   660110</v>
      </c>
      <c r="B2064" t="str">
        <f>T("   Parasols de jardin et articles simil. (sauf tentes de plage)")</f>
        <v xml:space="preserve">   Parasols de jardin et articles simil. (sauf tentes de plage)</v>
      </c>
      <c r="C2064">
        <v>2067616</v>
      </c>
      <c r="D2064">
        <v>7935</v>
      </c>
    </row>
    <row r="2065" spans="1:4" x14ac:dyDescent="0.25">
      <c r="A2065" t="str">
        <f>T("   660191")</f>
        <v xml:space="preserve">   660191</v>
      </c>
      <c r="B2065" t="str">
        <f>T("   Parapluies, y.c. les parapluies-cannes et ombrelles, à mât ou à manche télescopique (sauf jouets d'enfants)")</f>
        <v xml:space="preserve">   Parapluies, y.c. les parapluies-cannes et ombrelles, à mât ou à manche télescopique (sauf jouets d'enfants)</v>
      </c>
      <c r="C2065">
        <v>68200561</v>
      </c>
      <c r="D2065">
        <v>22660</v>
      </c>
    </row>
    <row r="2066" spans="1:4" x14ac:dyDescent="0.25">
      <c r="A2066" t="str">
        <f>T("   660199")</f>
        <v xml:space="preserve">   660199</v>
      </c>
      <c r="B2066"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2066">
        <v>102804753</v>
      </c>
      <c r="D2066">
        <v>47415</v>
      </c>
    </row>
    <row r="2067" spans="1:4" x14ac:dyDescent="0.25">
      <c r="A2067" t="str">
        <f>T("   660320")</f>
        <v xml:space="preserve">   660320</v>
      </c>
      <c r="B2067" t="str">
        <f>T("   Montures assemblées, même avec mâts ou manches, reconnaissables comme étant destinées aux parapluies, ombrelles ou parasols du n° 6601")</f>
        <v xml:space="preserve">   Montures assemblées, même avec mâts ou manches, reconnaissables comme étant destinées aux parapluies, ombrelles ou parasols du n° 6601</v>
      </c>
      <c r="C2067">
        <v>941923</v>
      </c>
      <c r="D2067">
        <v>2646</v>
      </c>
    </row>
    <row r="2068" spans="1:4" x14ac:dyDescent="0.25">
      <c r="A2068" t="str">
        <f>T("   670210")</f>
        <v xml:space="preserve">   670210</v>
      </c>
      <c r="B2068" t="str">
        <f>T("   Fleurs, feuillages et fruits artificiels, y.c. leurs parties; articles confectionnés en fleurs, feuillages ou fruits artificiels fabriqués par ligature, collage, emboîtage ou procédés simil., en matières plastiques")</f>
        <v xml:space="preserve">   Fleurs, feuillages et fruits artificiels, y.c. leurs parties; articles confectionnés en fleurs, feuillages ou fruits artificiels fabriqués par ligature, collage, emboîtage ou procédés simil., en matières plastiques</v>
      </c>
      <c r="C2068">
        <v>22465426</v>
      </c>
      <c r="D2068">
        <v>47048</v>
      </c>
    </row>
    <row r="2069" spans="1:4" x14ac:dyDescent="0.25">
      <c r="A2069" t="str">
        <f>T("   670290")</f>
        <v xml:space="preserve">   670290</v>
      </c>
      <c r="B2069"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2069">
        <v>10814225</v>
      </c>
      <c r="D2069">
        <v>21789</v>
      </c>
    </row>
    <row r="2070" spans="1:4" x14ac:dyDescent="0.25">
      <c r="A2070" t="str">
        <f>T("   670420")</f>
        <v xml:space="preserve">   670420</v>
      </c>
      <c r="B2070" t="str">
        <f>T("   Perruques, barbes, sourcils, cils, mèches et articles simil., en cheveux; ouvrages en cheveux n.d.a.")</f>
        <v xml:space="preserve">   Perruques, barbes, sourcils, cils, mèches et articles simil., en cheveux; ouvrages en cheveux n.d.a.</v>
      </c>
      <c r="C2070">
        <v>12758522</v>
      </c>
      <c r="D2070">
        <v>46147</v>
      </c>
    </row>
    <row r="2071" spans="1:4" x14ac:dyDescent="0.25">
      <c r="A2071" t="str">
        <f>T("   670490")</f>
        <v xml:space="preserve">   670490</v>
      </c>
      <c r="B2071" t="str">
        <f>T("   Perruques, barbes, sourcils, cils, mèches et articles simil., en poils ou matières textiles (sauf matières textiles synthétiques)")</f>
        <v xml:space="preserve">   Perruques, barbes, sourcils, cils, mèches et articles simil., en poils ou matières textiles (sauf matières textiles synthétiques)</v>
      </c>
      <c r="C2071">
        <v>8864788</v>
      </c>
      <c r="D2071">
        <v>56397</v>
      </c>
    </row>
    <row r="2072" spans="1:4" x14ac:dyDescent="0.25">
      <c r="A2072" t="str">
        <f>T("   680210")</f>
        <v xml:space="preserve">   680210</v>
      </c>
      <c r="B2072" t="s">
        <v>286</v>
      </c>
      <c r="C2072">
        <v>20711911</v>
      </c>
      <c r="D2072">
        <v>136353</v>
      </c>
    </row>
    <row r="2073" spans="1:4" x14ac:dyDescent="0.25">
      <c r="A2073" t="str">
        <f>T("   680221")</f>
        <v xml:space="preserve">   680221</v>
      </c>
      <c r="B2073" t="s">
        <v>287</v>
      </c>
      <c r="C2073">
        <v>46497</v>
      </c>
      <c r="D2073">
        <v>41</v>
      </c>
    </row>
    <row r="2074" spans="1:4" x14ac:dyDescent="0.25">
      <c r="A2074" t="str">
        <f>T("   680223")</f>
        <v xml:space="preserve">   680223</v>
      </c>
      <c r="B2074" t="str">
        <f>T("   Granit et ouvrages en ces pierres, simplement taillés ou sciés, à surface plane ou unie (sauf à surface entièrement ou partiellement rabotée, poncée au papier sablé, grossièrement ou finement meulée ou polie; non du n° 6801.00.00 ou 6802.10.00)")</f>
        <v xml:space="preserve">   Granit et ouvrages en ces pierres, simplement taillés ou sciés, à surface plane ou unie (sauf à surface entièrement ou partiellement rabotée, poncée au papier sablé, grossièrement ou finement meulée ou polie; non du n° 6801.00.00 ou 6802.10.00)</v>
      </c>
      <c r="C2074">
        <v>18434909</v>
      </c>
      <c r="D2074">
        <v>104541</v>
      </c>
    </row>
    <row r="2075" spans="1:4" x14ac:dyDescent="0.25">
      <c r="A2075" t="str">
        <f>T("   680229")</f>
        <v xml:space="preserve">   680229</v>
      </c>
      <c r="B2075" t="s">
        <v>288</v>
      </c>
      <c r="C2075">
        <v>16524130</v>
      </c>
      <c r="D2075">
        <v>87443</v>
      </c>
    </row>
    <row r="2076" spans="1:4" x14ac:dyDescent="0.25">
      <c r="A2076" t="str">
        <f>T("   680291")</f>
        <v xml:space="preserve">   680291</v>
      </c>
      <c r="B2076" t="s">
        <v>289</v>
      </c>
      <c r="C2076">
        <v>18075551</v>
      </c>
      <c r="D2076">
        <v>25930</v>
      </c>
    </row>
    <row r="2077" spans="1:4" x14ac:dyDescent="0.25">
      <c r="A2077" t="str">
        <f>T("   680293")</f>
        <v xml:space="preserve">   680293</v>
      </c>
      <c r="B2077" t="str">
        <f>T("   GRANIT DE N'IMPORTE QUELLE FORME, POLI, DÉCORÉ OU AUTREMENT TRAVAILLÉ (SAUF OUVRAGES DU 6802.10; BIJOUX DE FANTAISIE; PENDULES ET ARTICLES D'HORLOGERIE, APPAREILS D'ÉCLAIRAGE ET LEURS PARTIES; OBJETS D'ART ORIGINAUX SCULPTÉS)")</f>
        <v xml:space="preserve">   GRANIT DE N'IMPORTE QUELLE FORME, POLI, DÉCORÉ OU AUTREMENT TRAVAILLÉ (SAUF OUVRAGES DU 6802.10; BIJOUX DE FANTAISIE; PENDULES ET ARTICLES D'HORLOGERIE, APPAREILS D'ÉCLAIRAGE ET LEURS PARTIES; OBJETS D'ART ORIGINAUX SCULPTÉS)</v>
      </c>
      <c r="C2077">
        <v>6301056</v>
      </c>
      <c r="D2077">
        <v>20050</v>
      </c>
    </row>
    <row r="2078" spans="1:4" x14ac:dyDescent="0.25">
      <c r="A2078" t="str">
        <f>T("   680299")</f>
        <v xml:space="preserve">   680299</v>
      </c>
      <c r="B2078" t="s">
        <v>290</v>
      </c>
      <c r="C2078">
        <v>2666700</v>
      </c>
      <c r="D2078">
        <v>7197</v>
      </c>
    </row>
    <row r="2079" spans="1:4" x14ac:dyDescent="0.25">
      <c r="A2079" t="str">
        <f>T("   680422")</f>
        <v xml:space="preserve">   680422</v>
      </c>
      <c r="B2079" t="s">
        <v>292</v>
      </c>
      <c r="C2079">
        <v>4500138</v>
      </c>
      <c r="D2079">
        <v>10632</v>
      </c>
    </row>
    <row r="2080" spans="1:4" x14ac:dyDescent="0.25">
      <c r="A2080" t="str">
        <f>T("   680423")</f>
        <v xml:space="preserve">   680423</v>
      </c>
      <c r="B2080" t="s">
        <v>293</v>
      </c>
      <c r="C2080">
        <v>220022</v>
      </c>
      <c r="D2080">
        <v>1427</v>
      </c>
    </row>
    <row r="2081" spans="1:4" x14ac:dyDescent="0.25">
      <c r="A2081" t="str">
        <f>T("   680520")</f>
        <v xml:space="preserve">   680520</v>
      </c>
      <c r="B2081"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2081">
        <v>314669</v>
      </c>
      <c r="D2081">
        <v>232</v>
      </c>
    </row>
    <row r="2082" spans="1:4" x14ac:dyDescent="0.25">
      <c r="A2082" t="str">
        <f>T("   680690")</f>
        <v xml:space="preserve">   680690</v>
      </c>
      <c r="B2082" t="s">
        <v>294</v>
      </c>
      <c r="C2082">
        <v>344739</v>
      </c>
      <c r="D2082">
        <v>4083</v>
      </c>
    </row>
    <row r="2083" spans="1:4" x14ac:dyDescent="0.25">
      <c r="A2083" t="str">
        <f>T("   680800")</f>
        <v xml:space="preserve">   680800</v>
      </c>
      <c r="B2083" t="s">
        <v>295</v>
      </c>
      <c r="C2083">
        <v>11939458</v>
      </c>
      <c r="D2083">
        <v>34688</v>
      </c>
    </row>
    <row r="2084" spans="1:4" x14ac:dyDescent="0.25">
      <c r="A2084" t="str">
        <f>T("   680911")</f>
        <v xml:space="preserve">   680911</v>
      </c>
      <c r="B2084" t="s">
        <v>296</v>
      </c>
      <c r="C2084">
        <v>3710610</v>
      </c>
      <c r="D2084">
        <v>24202</v>
      </c>
    </row>
    <row r="2085" spans="1:4" x14ac:dyDescent="0.25">
      <c r="A2085" t="str">
        <f>T("   680919")</f>
        <v xml:space="preserve">   680919</v>
      </c>
      <c r="B2085" t="s">
        <v>297</v>
      </c>
      <c r="C2085">
        <v>5187089</v>
      </c>
      <c r="D2085">
        <v>27463</v>
      </c>
    </row>
    <row r="2086" spans="1:4" x14ac:dyDescent="0.25">
      <c r="A2086" t="str">
        <f>T("   681019")</f>
        <v xml:space="preserve">   681019</v>
      </c>
      <c r="B2086"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2086">
        <v>251508522</v>
      </c>
      <c r="D2086">
        <v>2270684</v>
      </c>
    </row>
    <row r="2087" spans="1:4" x14ac:dyDescent="0.25">
      <c r="A2087" t="str">
        <f>T("   681120")</f>
        <v xml:space="preserve">   681120</v>
      </c>
      <c r="B2087" t="str">
        <f>T("   Plaques, panneaux, carreaux, tuiles et articles simil., en amiante-ciment, cellulose-ciment ou simil. (sauf plaques ondulées)")</f>
        <v xml:space="preserve">   Plaques, panneaux, carreaux, tuiles et articles simil., en amiante-ciment, cellulose-ciment ou simil. (sauf plaques ondulées)</v>
      </c>
      <c r="C2087">
        <v>54769701</v>
      </c>
      <c r="D2087">
        <v>710050</v>
      </c>
    </row>
    <row r="2088" spans="1:4" x14ac:dyDescent="0.25">
      <c r="A2088" t="str">
        <f>T("   690390")</f>
        <v xml:space="preserve">   690390</v>
      </c>
      <c r="B2088" t="s">
        <v>303</v>
      </c>
      <c r="C2088">
        <v>6012000</v>
      </c>
      <c r="D2088">
        <v>78150</v>
      </c>
    </row>
    <row r="2089" spans="1:4" x14ac:dyDescent="0.25">
      <c r="A2089" t="str">
        <f>T("   690510")</f>
        <v xml:space="preserve">   690510</v>
      </c>
      <c r="B2089" t="str">
        <f>T("   Tuiles")</f>
        <v xml:space="preserve">   Tuiles</v>
      </c>
      <c r="C2089">
        <v>2992281</v>
      </c>
      <c r="D2089">
        <v>46120</v>
      </c>
    </row>
    <row r="2090" spans="1:4" x14ac:dyDescent="0.25">
      <c r="A2090" t="str">
        <f>T("   690590")</f>
        <v xml:space="preserve">   690590</v>
      </c>
      <c r="B2090" t="s">
        <v>304</v>
      </c>
      <c r="C2090">
        <v>1639003</v>
      </c>
      <c r="D2090">
        <v>4900</v>
      </c>
    </row>
    <row r="2091" spans="1:4" x14ac:dyDescent="0.25">
      <c r="A2091" t="str">
        <f>T("   690600")</f>
        <v xml:space="preserve">   690600</v>
      </c>
      <c r="B2091" t="s">
        <v>305</v>
      </c>
      <c r="C2091">
        <v>9000276</v>
      </c>
      <c r="D2091">
        <v>26263</v>
      </c>
    </row>
    <row r="2092" spans="1:4" x14ac:dyDescent="0.25">
      <c r="A2092" t="str">
        <f>T("   690710")</f>
        <v xml:space="preserve">   690710</v>
      </c>
      <c r="B2092" t="str">
        <f>T("   Carreaux, cubes, dés et articles simil., en céramique, pour mosaïques, non vernissés ni émaillés, même de forme autre que carrée ou rectangulaire, dont la plus grande surface peut être inscrite dans un carré de côté &lt; 7 cm, même sur support")</f>
        <v xml:space="preserve">   Carreaux, cubes, dés et articles simil., en céramique, pour mosaïques, non vernissés ni émaillés, même de forme autre que carrée ou rectangulaire, dont la plus grande surface peut être inscrite dans un carré de côté &lt; 7 cm, même sur support</v>
      </c>
      <c r="C2092">
        <v>6382520</v>
      </c>
      <c r="D2092">
        <v>29485</v>
      </c>
    </row>
    <row r="2093" spans="1:4" x14ac:dyDescent="0.25">
      <c r="A2093" t="str">
        <f>T("   690790")</f>
        <v xml:space="preserve">   690790</v>
      </c>
      <c r="B2093" t="s">
        <v>306</v>
      </c>
      <c r="C2093">
        <v>684429152</v>
      </c>
      <c r="D2093">
        <v>4698876</v>
      </c>
    </row>
    <row r="2094" spans="1:4" x14ac:dyDescent="0.25">
      <c r="A2094" t="str">
        <f>T("   690810")</f>
        <v xml:space="preserve">   690810</v>
      </c>
      <c r="B2094"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2094">
        <v>6247959</v>
      </c>
      <c r="D2094">
        <v>79950</v>
      </c>
    </row>
    <row r="2095" spans="1:4" x14ac:dyDescent="0.25">
      <c r="A2095" t="str">
        <f>T("   690890")</f>
        <v xml:space="preserve">   690890</v>
      </c>
      <c r="B2095" t="s">
        <v>307</v>
      </c>
      <c r="C2095">
        <v>1888504507</v>
      </c>
      <c r="D2095">
        <v>15929468</v>
      </c>
    </row>
    <row r="2096" spans="1:4" x14ac:dyDescent="0.25">
      <c r="A2096" t="str">
        <f>T("   690911")</f>
        <v xml:space="preserve">   690911</v>
      </c>
      <c r="B2096" t="str">
        <f>T("   Appareils et articles en porcelaine, pour usages chimiques ou autres usages techniques (sauf articles céramiques réfractaires et sauf appareils électriques, isolateurs et autres pièces isolantes électriques)")</f>
        <v xml:space="preserve">   Appareils et articles en porcelaine, pour usages chimiques ou autres usages techniques (sauf articles céramiques réfractaires et sauf appareils électriques, isolateurs et autres pièces isolantes électriques)</v>
      </c>
      <c r="C2096">
        <v>29240</v>
      </c>
      <c r="D2096">
        <v>2725</v>
      </c>
    </row>
    <row r="2097" spans="1:4" x14ac:dyDescent="0.25">
      <c r="A2097" t="str">
        <f>T("   690919")</f>
        <v xml:space="preserve">   690919</v>
      </c>
      <c r="B2097" t="s">
        <v>308</v>
      </c>
      <c r="C2097">
        <v>717170</v>
      </c>
      <c r="D2097">
        <v>2700</v>
      </c>
    </row>
    <row r="2098" spans="1:4" x14ac:dyDescent="0.25">
      <c r="A2098" t="str">
        <f>T("   691010")</f>
        <v xml:space="preserve">   691010</v>
      </c>
      <c r="B2098" t="s">
        <v>309</v>
      </c>
      <c r="C2098">
        <v>22584432</v>
      </c>
      <c r="D2098">
        <v>119030</v>
      </c>
    </row>
    <row r="2099" spans="1:4" x14ac:dyDescent="0.25">
      <c r="A2099" t="str">
        <f>T("   691090")</f>
        <v xml:space="preserve">   691090</v>
      </c>
      <c r="B2099" t="s">
        <v>310</v>
      </c>
      <c r="C2099">
        <v>145738144</v>
      </c>
      <c r="D2099">
        <v>708449.4</v>
      </c>
    </row>
    <row r="2100" spans="1:4" x14ac:dyDescent="0.25">
      <c r="A2100" t="str">
        <f>T("   691110")</f>
        <v xml:space="preserve">   691110</v>
      </c>
      <c r="B2100" t="s">
        <v>311</v>
      </c>
      <c r="C2100">
        <v>114461325</v>
      </c>
      <c r="D2100">
        <v>379076</v>
      </c>
    </row>
    <row r="2101" spans="1:4" x14ac:dyDescent="0.25">
      <c r="A2101" t="str">
        <f>T("   691190")</f>
        <v xml:space="preserve">   691190</v>
      </c>
      <c r="B2101" t="s">
        <v>312</v>
      </c>
      <c r="C2101">
        <v>29147581</v>
      </c>
      <c r="D2101">
        <v>57820</v>
      </c>
    </row>
    <row r="2102" spans="1:4" x14ac:dyDescent="0.25">
      <c r="A2102" t="str">
        <f>T("   691200")</f>
        <v xml:space="preserve">   691200</v>
      </c>
      <c r="B2102" t="s">
        <v>313</v>
      </c>
      <c r="C2102">
        <v>11195933</v>
      </c>
      <c r="D2102">
        <v>49547</v>
      </c>
    </row>
    <row r="2103" spans="1:4" x14ac:dyDescent="0.25">
      <c r="A2103" t="str">
        <f>T("   691310")</f>
        <v xml:space="preserve">   691310</v>
      </c>
      <c r="B2103" t="str">
        <f>T("   Statuettes et autres objets d'ornementation en porcelaine n.d.a.")</f>
        <v xml:space="preserve">   Statuettes et autres objets d'ornementation en porcelaine n.d.a.</v>
      </c>
      <c r="C2103">
        <v>1136060</v>
      </c>
      <c r="D2103">
        <v>1189</v>
      </c>
    </row>
    <row r="2104" spans="1:4" x14ac:dyDescent="0.25">
      <c r="A2104" t="str">
        <f>T("   691390")</f>
        <v xml:space="preserve">   691390</v>
      </c>
      <c r="B2104" t="str">
        <f>T("   Statuettes et autres objets d'ornementation en céramique autres que la porcelaine n.d.a.")</f>
        <v xml:space="preserve">   Statuettes et autres objets d'ornementation en céramique autres que la porcelaine n.d.a.</v>
      </c>
      <c r="C2104">
        <v>11405760</v>
      </c>
      <c r="D2104">
        <v>12597</v>
      </c>
    </row>
    <row r="2105" spans="1:4" x14ac:dyDescent="0.25">
      <c r="A2105" t="str">
        <f>T("   691410")</f>
        <v xml:space="preserve">   691410</v>
      </c>
      <c r="B2105" t="str">
        <f>T("   Ouvrages en porcelaine n.d.a.")</f>
        <v xml:space="preserve">   Ouvrages en porcelaine n.d.a.</v>
      </c>
      <c r="C2105">
        <v>8730828</v>
      </c>
      <c r="D2105">
        <v>76852</v>
      </c>
    </row>
    <row r="2106" spans="1:4" x14ac:dyDescent="0.25">
      <c r="A2106" t="str">
        <f>T("   691490")</f>
        <v xml:space="preserve">   691490</v>
      </c>
      <c r="B2106" t="str">
        <f>T("   Ouvrages en céramique autres que la porcelaine n.d.a.")</f>
        <v xml:space="preserve">   Ouvrages en céramique autres que la porcelaine n.d.a.</v>
      </c>
      <c r="C2106">
        <v>6213134</v>
      </c>
      <c r="D2106">
        <v>22676</v>
      </c>
    </row>
    <row r="2107" spans="1:4" x14ac:dyDescent="0.25">
      <c r="A2107" t="str">
        <f>T("   700490")</f>
        <v xml:space="preserve">   700490</v>
      </c>
      <c r="B2107"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2107">
        <v>8430000</v>
      </c>
      <c r="D2107">
        <v>75000</v>
      </c>
    </row>
    <row r="2108" spans="1:4" x14ac:dyDescent="0.25">
      <c r="A2108" t="str">
        <f>T("   700510")</f>
        <v xml:space="preserve">   700510</v>
      </c>
      <c r="B2108"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2108">
        <v>107768518</v>
      </c>
      <c r="D2108">
        <v>489912</v>
      </c>
    </row>
    <row r="2109" spans="1:4" x14ac:dyDescent="0.25">
      <c r="A2109" t="str">
        <f>T("   700521")</f>
        <v xml:space="preserve">   700521</v>
      </c>
      <c r="B2109" t="s">
        <v>314</v>
      </c>
      <c r="C2109">
        <v>2708328</v>
      </c>
      <c r="D2109">
        <v>11588</v>
      </c>
    </row>
    <row r="2110" spans="1:4" x14ac:dyDescent="0.25">
      <c r="A2110" t="str">
        <f>T("   700529")</f>
        <v xml:space="preserve">   700529</v>
      </c>
      <c r="B2110" t="s">
        <v>315</v>
      </c>
      <c r="C2110">
        <v>188886683</v>
      </c>
      <c r="D2110">
        <v>1094764</v>
      </c>
    </row>
    <row r="2111" spans="1:4" x14ac:dyDescent="0.25">
      <c r="A2111" t="str">
        <f>T("   700600")</f>
        <v xml:space="preserve">   700600</v>
      </c>
      <c r="B2111" t="s">
        <v>316</v>
      </c>
      <c r="C2111">
        <v>4414338</v>
      </c>
      <c r="D2111">
        <v>25240</v>
      </c>
    </row>
    <row r="2112" spans="1:4" x14ac:dyDescent="0.25">
      <c r="A2112" t="str">
        <f>T("   700711")</f>
        <v xml:space="preserve">   700711</v>
      </c>
      <c r="B2112"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2112">
        <v>11038952</v>
      </c>
      <c r="D2112">
        <v>20837</v>
      </c>
    </row>
    <row r="2113" spans="1:4" x14ac:dyDescent="0.25">
      <c r="A2113" t="str">
        <f>T("   700721")</f>
        <v xml:space="preserve">   700721</v>
      </c>
      <c r="B2113" t="s">
        <v>318</v>
      </c>
      <c r="C2113">
        <v>5552311</v>
      </c>
      <c r="D2113">
        <v>10070</v>
      </c>
    </row>
    <row r="2114" spans="1:4" x14ac:dyDescent="0.25">
      <c r="A2114" t="str">
        <f>T("   700729")</f>
        <v xml:space="preserve">   700729</v>
      </c>
      <c r="B2114" t="s">
        <v>319</v>
      </c>
      <c r="C2114">
        <v>11174129</v>
      </c>
      <c r="D2114">
        <v>27787</v>
      </c>
    </row>
    <row r="2115" spans="1:4" x14ac:dyDescent="0.25">
      <c r="A2115" t="str">
        <f>T("   700800")</f>
        <v xml:space="preserve">   700800</v>
      </c>
      <c r="B2115" t="str">
        <f>T("   Vitrages isolants à parois multiples")</f>
        <v xml:space="preserve">   Vitrages isolants à parois multiples</v>
      </c>
      <c r="C2115">
        <v>32142833</v>
      </c>
      <c r="D2115">
        <v>52169</v>
      </c>
    </row>
    <row r="2116" spans="1:4" x14ac:dyDescent="0.25">
      <c r="A2116" t="str">
        <f>T("   700910")</f>
        <v xml:space="preserve">   700910</v>
      </c>
      <c r="B2116" t="str">
        <f>T("   Miroirs rétroviseurs en verre, même encadrés, pour véhicules")</f>
        <v xml:space="preserve">   Miroirs rétroviseurs en verre, même encadrés, pour véhicules</v>
      </c>
      <c r="C2116">
        <v>763000</v>
      </c>
      <c r="D2116">
        <v>2120</v>
      </c>
    </row>
    <row r="2117" spans="1:4" x14ac:dyDescent="0.25">
      <c r="A2117" t="str">
        <f>T("   700991")</f>
        <v xml:space="preserve">   700991</v>
      </c>
      <c r="B2117"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2117">
        <v>18517263</v>
      </c>
      <c r="D2117">
        <v>83686</v>
      </c>
    </row>
    <row r="2118" spans="1:4" x14ac:dyDescent="0.25">
      <c r="A2118" t="str">
        <f>T("   700992")</f>
        <v xml:space="preserve">   700992</v>
      </c>
      <c r="B2118" t="str">
        <f>T("   Miroirs, en verre encadrés (sauf miroirs rétroviseurs pour véhicules)")</f>
        <v xml:space="preserve">   Miroirs, en verre encadrés (sauf miroirs rétroviseurs pour véhicules)</v>
      </c>
      <c r="C2118">
        <v>26797921</v>
      </c>
      <c r="D2118">
        <v>57172</v>
      </c>
    </row>
    <row r="2119" spans="1:4" x14ac:dyDescent="0.25">
      <c r="A2119" t="str">
        <f>T("   701090")</f>
        <v xml:space="preserve">   701090</v>
      </c>
      <c r="B2119" t="s">
        <v>320</v>
      </c>
      <c r="C2119">
        <v>18718175</v>
      </c>
      <c r="D2119">
        <v>53124</v>
      </c>
    </row>
    <row r="2120" spans="1:4" x14ac:dyDescent="0.25">
      <c r="A2120" t="str">
        <f>T("   701110")</f>
        <v xml:space="preserve">   701110</v>
      </c>
      <c r="B2120" t="str">
        <f>T("   Ampoules en verre, ouvertes, et enveloppes tubulaires en verre, ouvertes, et leurs parties en verre, sans garnitures, pour l'éclairage électrique")</f>
        <v xml:space="preserve">   Ampoules en verre, ouvertes, et enveloppes tubulaires en verre, ouvertes, et leurs parties en verre, sans garnitures, pour l'éclairage électrique</v>
      </c>
      <c r="C2120">
        <v>34047014</v>
      </c>
      <c r="D2120">
        <v>98566</v>
      </c>
    </row>
    <row r="2121" spans="1:4" x14ac:dyDescent="0.25">
      <c r="A2121" t="str">
        <f>T("   701190")</f>
        <v xml:space="preserve">   701190</v>
      </c>
      <c r="B2121"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2121">
        <v>1108545</v>
      </c>
      <c r="D2121">
        <v>3880</v>
      </c>
    </row>
    <row r="2122" spans="1:4" x14ac:dyDescent="0.25">
      <c r="A2122" t="str">
        <f>T("   701329")</f>
        <v xml:space="preserve">   701329</v>
      </c>
      <c r="B2122" t="str">
        <f>T("   Verres à boire (autres qu'en vitrocérame, autres qu'en cristal au plomb)")</f>
        <v xml:space="preserve">   Verres à boire (autres qu'en vitrocérame, autres qu'en cristal au plomb)</v>
      </c>
      <c r="C2122">
        <v>78693438</v>
      </c>
      <c r="D2122">
        <v>223947.51</v>
      </c>
    </row>
    <row r="2123" spans="1:4" x14ac:dyDescent="0.25">
      <c r="A2123" t="str">
        <f>T("   701339")</f>
        <v xml:space="preserve">   701339</v>
      </c>
      <c r="B2123" t="s">
        <v>324</v>
      </c>
      <c r="C2123">
        <v>23325710</v>
      </c>
      <c r="D2123">
        <v>61827.49</v>
      </c>
    </row>
    <row r="2124" spans="1:4" x14ac:dyDescent="0.25">
      <c r="A2124" t="str">
        <f>T("   701391")</f>
        <v xml:space="preserve">   701391</v>
      </c>
      <c r="B2124" t="s">
        <v>325</v>
      </c>
      <c r="C2124">
        <v>116961</v>
      </c>
      <c r="D2124">
        <v>200</v>
      </c>
    </row>
    <row r="2125" spans="1:4" x14ac:dyDescent="0.25">
      <c r="A2125" t="str">
        <f>T("   701399")</f>
        <v xml:space="preserve">   701399</v>
      </c>
      <c r="B2125" t="s">
        <v>326</v>
      </c>
      <c r="C2125">
        <v>8358011</v>
      </c>
      <c r="D2125">
        <v>18615</v>
      </c>
    </row>
    <row r="2126" spans="1:4" x14ac:dyDescent="0.25">
      <c r="A2126" t="str">
        <f>T("   701690")</f>
        <v xml:space="preserve">   701690</v>
      </c>
      <c r="B2126" t="s">
        <v>328</v>
      </c>
      <c r="C2126">
        <v>20601863</v>
      </c>
      <c r="D2126">
        <v>126029</v>
      </c>
    </row>
    <row r="2127" spans="1:4" x14ac:dyDescent="0.25">
      <c r="A2127" t="str">
        <f>T("   701710")</f>
        <v xml:space="preserve">   701710</v>
      </c>
      <c r="B2127" t="s">
        <v>329</v>
      </c>
      <c r="C2127">
        <v>364306</v>
      </c>
      <c r="D2127">
        <v>121</v>
      </c>
    </row>
    <row r="2128" spans="1:4" x14ac:dyDescent="0.25">
      <c r="A2128" t="str">
        <f>T("   701790")</f>
        <v xml:space="preserve">   701790</v>
      </c>
      <c r="B2128" t="s">
        <v>331</v>
      </c>
      <c r="C2128">
        <v>29652414</v>
      </c>
      <c r="D2128">
        <v>5560</v>
      </c>
    </row>
    <row r="2129" spans="1:4" x14ac:dyDescent="0.25">
      <c r="A2129" t="str">
        <f>T("   702000")</f>
        <v xml:space="preserve">   702000</v>
      </c>
      <c r="B2129" t="str">
        <f>T("   Ouvrages en verre n.d.a.")</f>
        <v xml:space="preserve">   Ouvrages en verre n.d.a.</v>
      </c>
      <c r="C2129">
        <v>9397661</v>
      </c>
      <c r="D2129">
        <v>63837</v>
      </c>
    </row>
    <row r="2130" spans="1:4" x14ac:dyDescent="0.25">
      <c r="A2130" t="str">
        <f>T("   711419")</f>
        <v xml:space="preserve">   711419</v>
      </c>
      <c r="B2130" t="s">
        <v>334</v>
      </c>
      <c r="C2130">
        <v>18692</v>
      </c>
      <c r="D2130">
        <v>62</v>
      </c>
    </row>
    <row r="2131" spans="1:4" x14ac:dyDescent="0.25">
      <c r="A2131" t="str">
        <f>T("   711620")</f>
        <v xml:space="preserve">   711620</v>
      </c>
      <c r="B2131" t="str">
        <f>T("   Ouvrages en pierres gemmes ou en pierres synthétiques ou reconstituées, n.d.a.")</f>
        <v xml:space="preserve">   Ouvrages en pierres gemmes ou en pierres synthétiques ou reconstituées, n.d.a.</v>
      </c>
      <c r="C2131">
        <v>8959</v>
      </c>
      <c r="D2131">
        <v>49</v>
      </c>
    </row>
    <row r="2132" spans="1:4" x14ac:dyDescent="0.25">
      <c r="A2132" t="str">
        <f>T("   711719")</f>
        <v xml:space="preserve">   711719</v>
      </c>
      <c r="B2132" t="str">
        <f>T("   Bijouterie de fantaisie en métaux communs, même argentés, dorés ou platinés (à l'excl. des boutons de manchettes et des boutons simil.)")</f>
        <v xml:space="preserve">   Bijouterie de fantaisie en métaux communs, même argentés, dorés ou platinés (à l'excl. des boutons de manchettes et des boutons simil.)</v>
      </c>
      <c r="C2132">
        <v>320000</v>
      </c>
      <c r="D2132">
        <v>100</v>
      </c>
    </row>
    <row r="2133" spans="1:4" x14ac:dyDescent="0.25">
      <c r="A2133" t="str">
        <f>T("   711790")</f>
        <v xml:space="preserve">   711790</v>
      </c>
      <c r="B2133" t="str">
        <f>T("   Bijouterie de fantaisie (autre qu'en métaux communs, même argentés, dorés ou platinés)")</f>
        <v xml:space="preserve">   Bijouterie de fantaisie (autre qu'en métaux communs, même argentés, dorés ou platinés)</v>
      </c>
      <c r="C2133">
        <v>7612455</v>
      </c>
      <c r="D2133">
        <v>10596</v>
      </c>
    </row>
    <row r="2134" spans="1:4" x14ac:dyDescent="0.25">
      <c r="A2134" t="str">
        <f>T("   720690")</f>
        <v xml:space="preserve">   720690</v>
      </c>
      <c r="B2134" t="str">
        <f>T("   FER ET ACIERS NON ALLIÉS EN LOUPES BRUTES OU AUTRES FORMES BRUTES (AUTRES QUE LINGOTS BRUTS, DÉCHETS LINGOTÉS, PRODUITS DE COULÉE CONTINUE ET PRODUITS FERREUX OBTENUS PAR RÉDUCTION DIRECTE DES MINERAIS DE FER)")</f>
        <v xml:space="preserve">   FER ET ACIERS NON ALLIÉS EN LOUPES BRUTES OU AUTRES FORMES BRUTES (AUTRES QUE LINGOTS BRUTS, DÉCHETS LINGOTÉS, PRODUITS DE COULÉE CONTINUE ET PRODUITS FERREUX OBTENUS PAR RÉDUCTION DIRECTE DES MINERAIS DE FER)</v>
      </c>
      <c r="C2134">
        <v>9979761</v>
      </c>
      <c r="D2134">
        <v>100110</v>
      </c>
    </row>
    <row r="2135" spans="1:4" x14ac:dyDescent="0.25">
      <c r="A2135" t="str">
        <f>T("   720719")</f>
        <v xml:space="preserve">   720719</v>
      </c>
      <c r="B2135" t="str">
        <f>T("   DEMI-PRODUITS EN FER OU EN ACIERS NON-ALLIÉS, CONTENANT EN POIDS &lt; 0,25% DE CARBONE, DE SECTION TRANSVERSALE CIRCULAIRE OU POLYGONALE")</f>
        <v xml:space="preserve">   DEMI-PRODUITS EN FER OU EN ACIERS NON-ALLIÉS, CONTENANT EN POIDS &lt; 0,25% DE CARBONE, DE SECTION TRANSVERSALE CIRCULAIRE OU POLYGONALE</v>
      </c>
      <c r="C2135">
        <v>728133</v>
      </c>
      <c r="D2135">
        <v>900</v>
      </c>
    </row>
    <row r="2136" spans="1:4" x14ac:dyDescent="0.25">
      <c r="A2136" t="str">
        <f>T("   720890")</f>
        <v xml:space="preserve">   720890</v>
      </c>
      <c r="B2136" t="str">
        <f>T("   PRODUITS LAMINÉS PLATS, EN FER OU EN ACIER, D'UNE LARGEUR &gt;= 600 MM, LAMINÉS À CHAUD ET AYANT SUBI CERTAINES OUVRAISONS PLUS POUSSÉES, MAIS NON-PLAQUÉS NI REVÊTUS")</f>
        <v xml:space="preserve">   PRODUITS LAMINÉS PLATS, EN FER OU EN ACIER, D'UNE LARGEUR &gt;= 600 MM, LAMINÉS À CHAUD ET AYANT SUBI CERTAINES OUVRAISONS PLUS POUSSÉES, MAIS NON-PLAQUÉS NI REVÊTUS</v>
      </c>
      <c r="C2136">
        <v>8857000</v>
      </c>
      <c r="D2136">
        <v>54260</v>
      </c>
    </row>
    <row r="2137" spans="1:4" x14ac:dyDescent="0.25">
      <c r="A2137" t="str">
        <f>T("   721030")</f>
        <v xml:space="preserve">   721030</v>
      </c>
      <c r="B2137" t="str">
        <f>T("   Produits laminés plats, en fer ou en aciers non alliés, d'une largeur &gt;= 600 mm, laminés à chaud ou à froid, zingués électrolytiquement")</f>
        <v xml:space="preserve">   Produits laminés plats, en fer ou en aciers non alliés, d'une largeur &gt;= 600 mm, laminés à chaud ou à froid, zingués électrolytiquement</v>
      </c>
      <c r="C2137">
        <v>2820380</v>
      </c>
      <c r="D2137">
        <v>5993</v>
      </c>
    </row>
    <row r="2138" spans="1:4" x14ac:dyDescent="0.25">
      <c r="A2138" t="str">
        <f>T("   721041")</f>
        <v xml:space="preserve">   721041</v>
      </c>
      <c r="B2138"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2138">
        <v>628726005</v>
      </c>
      <c r="D2138">
        <v>1902195</v>
      </c>
    </row>
    <row r="2139" spans="1:4" x14ac:dyDescent="0.25">
      <c r="A2139" t="str">
        <f>T("   721049")</f>
        <v xml:space="preserve">   721049</v>
      </c>
      <c r="B2139"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2139">
        <v>152071994</v>
      </c>
      <c r="D2139">
        <v>261753</v>
      </c>
    </row>
    <row r="2140" spans="1:4" x14ac:dyDescent="0.25">
      <c r="A2140" t="str">
        <f>T("   721090")</f>
        <v xml:space="preserve">   721090</v>
      </c>
      <c r="B2140" t="s">
        <v>337</v>
      </c>
      <c r="C2140">
        <v>94057</v>
      </c>
      <c r="D2140">
        <v>92</v>
      </c>
    </row>
    <row r="2141" spans="1:4" x14ac:dyDescent="0.25">
      <c r="A2141" t="str">
        <f>T("   721240")</f>
        <v xml:space="preserve">   721240</v>
      </c>
      <c r="B2141" t="str">
        <f>T("   PRODUITS LAMINÉS PLATS, EN FER OU EN ACIERS NON-ALLIÉS, D'UNE LARGEUR &lt; 600 MM, LAMINÉS À CHAUD OU À FROID, PEINTS, VERNIS OU REVÊTUS DE MATIÈRES PLASTIQUES")</f>
        <v xml:space="preserve">   PRODUITS LAMINÉS PLATS, EN FER OU EN ACIERS NON-ALLIÉS, D'UNE LARGEUR &lt; 600 MM, LAMINÉS À CHAUD OU À FROID, PEINTS, VERNIS OU REVÊTUS DE MATIÈRES PLASTIQUES</v>
      </c>
      <c r="C2141">
        <v>15014283</v>
      </c>
      <c r="D2141">
        <v>53000</v>
      </c>
    </row>
    <row r="2142" spans="1:4" x14ac:dyDescent="0.25">
      <c r="A2142" t="str">
        <f>T("   721420")</f>
        <v xml:space="preserve">   721420</v>
      </c>
      <c r="B2142"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2142">
        <v>103780483</v>
      </c>
      <c r="D2142">
        <v>146120</v>
      </c>
    </row>
    <row r="2143" spans="1:4" x14ac:dyDescent="0.25">
      <c r="A2143" t="str">
        <f>T("   721499")</f>
        <v xml:space="preserve">   721499</v>
      </c>
      <c r="B2143" t="s">
        <v>340</v>
      </c>
      <c r="C2143">
        <v>178439895</v>
      </c>
      <c r="D2143">
        <v>38378</v>
      </c>
    </row>
    <row r="2144" spans="1:4" x14ac:dyDescent="0.25">
      <c r="A2144" t="str">
        <f>T("   721590")</f>
        <v xml:space="preserve">   721590</v>
      </c>
      <c r="B2144"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2144">
        <v>7513523</v>
      </c>
      <c r="D2144">
        <v>46575</v>
      </c>
    </row>
    <row r="2145" spans="1:4" x14ac:dyDescent="0.25">
      <c r="A2145" t="str">
        <f>T("   721633")</f>
        <v xml:space="preserve">   721633</v>
      </c>
      <c r="B2145" t="str">
        <f>T("   PROFILÉS EN H, EN FER OU EN ACIERS NON-ALLIÉS, SIMPL. LAMINÉS OU FILÉS À CHAUD, D'UNE HAUTEUR &gt;= 80 MM")</f>
        <v xml:space="preserve">   PROFILÉS EN H, EN FER OU EN ACIERS NON-ALLIÉS, SIMPL. LAMINÉS OU FILÉS À CHAUD, D'UNE HAUTEUR &gt;= 80 MM</v>
      </c>
      <c r="C2145">
        <v>102938350</v>
      </c>
      <c r="D2145">
        <v>227417</v>
      </c>
    </row>
    <row r="2146" spans="1:4" x14ac:dyDescent="0.25">
      <c r="A2146" t="str">
        <f>T("   721669")</f>
        <v xml:space="preserve">   721669</v>
      </c>
      <c r="B2146"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2146">
        <v>2212004</v>
      </c>
      <c r="D2146">
        <v>2764</v>
      </c>
    </row>
    <row r="2147" spans="1:4" x14ac:dyDescent="0.25">
      <c r="A2147" t="str">
        <f>T("   721710")</f>
        <v xml:space="preserve">   721710</v>
      </c>
      <c r="B2147" t="str">
        <f>T("   FILS EN FER OU EN ACIERS NON-ALLIÉS, ENROULÉS, NON-REVÊTUS, MÊME POLIS (À L'EXCL. DU FIL MACHINE)")</f>
        <v xml:space="preserve">   FILS EN FER OU EN ACIERS NON-ALLIÉS, ENROULÉS, NON-REVÊTUS, MÊME POLIS (À L'EXCL. DU FIL MACHINE)</v>
      </c>
      <c r="C2147">
        <v>785175</v>
      </c>
      <c r="D2147">
        <v>3094</v>
      </c>
    </row>
    <row r="2148" spans="1:4" x14ac:dyDescent="0.25">
      <c r="A2148" t="str">
        <f>T("   721720")</f>
        <v xml:space="preserve">   721720</v>
      </c>
      <c r="B2148" t="str">
        <f>T("   FILS EN FER OU EN ACIERS NON-ALLIÉS, ENROULÉS, ZINGUÉS (À L'EXCL. DU FIL MACHINE)")</f>
        <v xml:space="preserve">   FILS EN FER OU EN ACIERS NON-ALLIÉS, ENROULÉS, ZINGUÉS (À L'EXCL. DU FIL MACHINE)</v>
      </c>
      <c r="C2148">
        <v>19470238</v>
      </c>
      <c r="D2148">
        <v>52000</v>
      </c>
    </row>
    <row r="2149" spans="1:4" x14ac:dyDescent="0.25">
      <c r="A2149" t="str">
        <f>T("   721790")</f>
        <v xml:space="preserve">   721790</v>
      </c>
      <c r="B2149"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2149">
        <v>20410910</v>
      </c>
      <c r="D2149">
        <v>102872</v>
      </c>
    </row>
    <row r="2150" spans="1:4" x14ac:dyDescent="0.25">
      <c r="A2150" t="str">
        <f>T("   722860")</f>
        <v xml:space="preserve">   722860</v>
      </c>
      <c r="B2150" t="str">
        <f>T("   Barres en aciers alliés autres qu'aciers inoxydables, obtenues ou parachevées à froid et autrement traitées, ou obtenues à chaud et autrement traitées n.d.a. (sauf en aciers à coupe rapide ou aciers silicomanganeux)")</f>
        <v xml:space="preserve">   Barres en aciers alliés autres qu'aciers inoxydables, obtenues ou parachevées à froid et autrement traitées, ou obtenues à chaud et autrement traitées n.d.a. (sauf en aciers à coupe rapide ou aciers silicomanganeux)</v>
      </c>
      <c r="C2150">
        <v>5900694</v>
      </c>
      <c r="D2150">
        <v>3955</v>
      </c>
    </row>
    <row r="2151" spans="1:4" x14ac:dyDescent="0.25">
      <c r="A2151" t="str">
        <f>T("   722990")</f>
        <v xml:space="preserve">   722990</v>
      </c>
      <c r="B2151" t="str">
        <f>T("   FILS EN ACIERS ALLIÉS AUTRES QU'ACIERS INOXYDABLES, EN COURONNES OU EN ROULEAUX (SAUF FIL MACHINE ET FIL EN ACIERS SILICOMANGANEUX)")</f>
        <v xml:space="preserve">   FILS EN ACIERS ALLIÉS AUTRES QU'ACIERS INOXYDABLES, EN COURONNES OU EN ROULEAUX (SAUF FIL MACHINE ET FIL EN ACIERS SILICOMANGANEUX)</v>
      </c>
      <c r="C2151">
        <v>11856795</v>
      </c>
      <c r="D2151">
        <v>78200</v>
      </c>
    </row>
    <row r="2152" spans="1:4" x14ac:dyDescent="0.25">
      <c r="A2152" t="str">
        <f>T("   730290")</f>
        <v xml:space="preserve">   730290</v>
      </c>
      <c r="B2152" t="s">
        <v>342</v>
      </c>
      <c r="C2152">
        <v>301742</v>
      </c>
      <c r="D2152">
        <v>2000</v>
      </c>
    </row>
    <row r="2153" spans="1:4" x14ac:dyDescent="0.25">
      <c r="A2153" t="str">
        <f>T("   730300")</f>
        <v xml:space="preserve">   730300</v>
      </c>
      <c r="B2153" t="str">
        <f>T("   Tubes, tuyaux et profilés creux, en fonte")</f>
        <v xml:space="preserve">   Tubes, tuyaux et profilés creux, en fonte</v>
      </c>
      <c r="C2153">
        <v>3280000</v>
      </c>
      <c r="D2153">
        <v>18000</v>
      </c>
    </row>
    <row r="2154" spans="1:4" x14ac:dyDescent="0.25">
      <c r="A2154" t="str">
        <f>T("   730431")</f>
        <v xml:space="preserve">   730431</v>
      </c>
      <c r="B2154" t="s">
        <v>343</v>
      </c>
      <c r="C2154">
        <v>11000000</v>
      </c>
      <c r="D2154">
        <v>84700</v>
      </c>
    </row>
    <row r="2155" spans="1:4" x14ac:dyDescent="0.25">
      <c r="A2155" t="str">
        <f>T("   730459")</f>
        <v xml:space="preserve">   730459</v>
      </c>
      <c r="B2155" t="str">
        <f>T("   TUBES, TUYAUX ET PROFILÉS CREUX, SANS SOUDURE, DE SECTION CIRCULAIRE, EN ACIERS ALLIÉS AUTRES QU'INOXYDABLES, NON-ÉTIRÉS OU LAMINÉS À FROID (SAUF TUBES DES TYPES UTILISÉS POUR LES OLÉODUCS OU LES GAZODUCS OU POUR L'EXTRACTION DE PÉTROLE OU DE GAZ)")</f>
        <v xml:space="preserve">   TUBES, TUYAUX ET PROFILÉS CREUX, SANS SOUDURE, DE SECTION CIRCULAIRE, EN ACIERS ALLIÉS AUTRES QU'INOXYDABLES, NON-ÉTIRÉS OU LAMINÉS À FROID (SAUF TUBES DES TYPES UTILISÉS POUR LES OLÉODUCS OU LES GAZODUCS OU POUR L'EXTRACTION DE PÉTROLE OU DE GAZ)</v>
      </c>
      <c r="C2155">
        <v>88102133</v>
      </c>
      <c r="D2155">
        <v>68839</v>
      </c>
    </row>
    <row r="2156" spans="1:4" x14ac:dyDescent="0.25">
      <c r="A2156" t="str">
        <f>T("   730490")</f>
        <v xml:space="preserve">   730490</v>
      </c>
      <c r="B2156" t="str">
        <f>T("   Tubes, tuyaux et profilés creux, sans soudure, de section autre que circulaire, en fer (à l'excl. de la fonte) ou en acier")</f>
        <v xml:space="preserve">   Tubes, tuyaux et profilés creux, sans soudure, de section autre que circulaire, en fer (à l'excl. de la fonte) ou en acier</v>
      </c>
      <c r="C2156">
        <v>56533453</v>
      </c>
      <c r="D2156">
        <v>191584</v>
      </c>
    </row>
    <row r="2157" spans="1:4" x14ac:dyDescent="0.25">
      <c r="A2157" t="str">
        <f>T("   730590")</f>
        <v xml:space="preserve">   730590</v>
      </c>
      <c r="B2157" t="str">
        <f>T("   Tubes et tuyaux de section circulaire, d'un diamètre extérieur &gt; 406,4 mm, en produits laminés plats en fer ou en acier (sauf soudés et sauf tubes des types utilisés pour les oléoducs et gazoducs ou pour l'extraction de pétrole ou de gaz)")</f>
        <v xml:space="preserve">   Tubes et tuyaux de section circulaire, d'un diamètre extérieur &gt; 406,4 mm, en produits laminés plats en fer ou en acier (sauf soudés et sauf tubes des types utilisés pour les oléoducs et gazoducs ou pour l'extraction de pétrole ou de gaz)</v>
      </c>
      <c r="C2157">
        <v>49499877</v>
      </c>
      <c r="D2157">
        <v>280000</v>
      </c>
    </row>
    <row r="2158" spans="1:4" x14ac:dyDescent="0.25">
      <c r="A2158" t="str">
        <f>T("   730650")</f>
        <v xml:space="preserve">   730650</v>
      </c>
      <c r="B2158" t="s">
        <v>347</v>
      </c>
      <c r="C2158">
        <v>41595051</v>
      </c>
      <c r="D2158">
        <v>188819</v>
      </c>
    </row>
    <row r="2159" spans="1:4" x14ac:dyDescent="0.25">
      <c r="A2159" t="str">
        <f>T("   730660")</f>
        <v xml:space="preserve">   730660</v>
      </c>
      <c r="B2159" t="s">
        <v>348</v>
      </c>
      <c r="C2159">
        <v>71418232</v>
      </c>
      <c r="D2159">
        <v>200483</v>
      </c>
    </row>
    <row r="2160" spans="1:4" x14ac:dyDescent="0.25">
      <c r="A2160" t="str">
        <f>T("   730690")</f>
        <v xml:space="preserve">   730690</v>
      </c>
      <c r="B2160"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2160">
        <v>14213899</v>
      </c>
      <c r="D2160">
        <v>91530</v>
      </c>
    </row>
    <row r="2161" spans="1:4" x14ac:dyDescent="0.25">
      <c r="A2161" t="str">
        <f>T("   730792")</f>
        <v xml:space="preserve">   730792</v>
      </c>
      <c r="B2161" t="str">
        <f>T("   Coudes, courbes et manchons en fer ou en aciers, filetés (autres que moulés ou en aciers inoxydables)")</f>
        <v xml:space="preserve">   Coudes, courbes et manchons en fer ou en aciers, filetés (autres que moulés ou en aciers inoxydables)</v>
      </c>
      <c r="C2161">
        <v>368620</v>
      </c>
      <c r="D2161">
        <v>708</v>
      </c>
    </row>
    <row r="2162" spans="1:4" x14ac:dyDescent="0.25">
      <c r="A2162" t="str">
        <f>T("   730799")</f>
        <v xml:space="preserve">   730799</v>
      </c>
      <c r="B2162"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2162">
        <v>2375659</v>
      </c>
      <c r="D2162">
        <v>6607</v>
      </c>
    </row>
    <row r="2163" spans="1:4" x14ac:dyDescent="0.25">
      <c r="A2163" t="str">
        <f>T("   730820")</f>
        <v xml:space="preserve">   730820</v>
      </c>
      <c r="B2163" t="str">
        <f>T("   Tours et pylônes, en fer ou en acier")</f>
        <v xml:space="preserve">   Tours et pylônes, en fer ou en acier</v>
      </c>
      <c r="C2163">
        <v>226121819</v>
      </c>
      <c r="D2163">
        <v>211703</v>
      </c>
    </row>
    <row r="2164" spans="1:4" x14ac:dyDescent="0.25">
      <c r="A2164" t="str">
        <f>T("   730830")</f>
        <v xml:space="preserve">   730830</v>
      </c>
      <c r="B2164" t="str">
        <f>T("   Portes, fenêtres et leurs cadres et chambranles ainsi que leurs seuils, en fer ou en acier")</f>
        <v xml:space="preserve">   Portes, fenêtres et leurs cadres et chambranles ainsi que leurs seuils, en fer ou en acier</v>
      </c>
      <c r="C2164">
        <v>5967781</v>
      </c>
      <c r="D2164">
        <v>25868</v>
      </c>
    </row>
    <row r="2165" spans="1:4" x14ac:dyDescent="0.25">
      <c r="A2165" t="str">
        <f>T("   730840")</f>
        <v xml:space="preserve">   730840</v>
      </c>
      <c r="B2165"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2165">
        <v>42133936</v>
      </c>
      <c r="D2165">
        <v>93712</v>
      </c>
    </row>
    <row r="2166" spans="1:4" x14ac:dyDescent="0.25">
      <c r="A2166" t="str">
        <f>T("   730890")</f>
        <v xml:space="preserve">   730890</v>
      </c>
      <c r="B2166" t="s">
        <v>349</v>
      </c>
      <c r="C2166">
        <v>181607493</v>
      </c>
      <c r="D2166">
        <v>142262</v>
      </c>
    </row>
    <row r="2167" spans="1:4" x14ac:dyDescent="0.25">
      <c r="A2167" t="str">
        <f>T("   731010")</f>
        <v xml:space="preserve">   731010</v>
      </c>
      <c r="B2167"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2167">
        <v>1205086</v>
      </c>
      <c r="D2167">
        <v>1100</v>
      </c>
    </row>
    <row r="2168" spans="1:4" x14ac:dyDescent="0.25">
      <c r="A2168" t="str">
        <f>T("   731290")</f>
        <v xml:space="preserve">   731290</v>
      </c>
      <c r="B2168" t="str">
        <f>T("   Tresses, élingues et simil., en fer ou en acier (sauf produits isolés pour l'électricité)")</f>
        <v xml:space="preserve">   Tresses, élingues et simil., en fer ou en acier (sauf produits isolés pour l'électricité)</v>
      </c>
      <c r="C2168">
        <v>498924</v>
      </c>
      <c r="D2168">
        <v>3462</v>
      </c>
    </row>
    <row r="2169" spans="1:4" x14ac:dyDescent="0.25">
      <c r="A2169" t="str">
        <f>T("   731300")</f>
        <v xml:space="preserve">   731300</v>
      </c>
      <c r="B2169" t="str">
        <f>T("   Ronces artificielles en fer ou en acier; torsades, barbelées ou non, en fils ou en feuillard de fer ou d'acier, des types utilisés pour les clôtures")</f>
        <v xml:space="preserve">   Ronces artificielles en fer ou en acier; torsades, barbelées ou non, en fils ou en feuillard de fer ou d'acier, des types utilisés pour les clôtures</v>
      </c>
      <c r="C2169">
        <v>9227488</v>
      </c>
      <c r="D2169">
        <v>25000</v>
      </c>
    </row>
    <row r="2170" spans="1:4" x14ac:dyDescent="0.25">
      <c r="A2170" t="str">
        <f>T("   731420")</f>
        <v xml:space="preserve">   731420</v>
      </c>
      <c r="B2170" t="str">
        <f>T("   Grillages et treillis, soudés aux points de rencontre, d'une surface de mailles &gt;= 100 cm², en fils de fer ou d'acier, dont la plus grande dimension de la coupe transversale est &gt;= 3 mm")</f>
        <v xml:space="preserve">   Grillages et treillis, soudés aux points de rencontre, d'une surface de mailles &gt;= 100 cm², en fils de fer ou d'acier, dont la plus grande dimension de la coupe transversale est &gt;= 3 mm</v>
      </c>
      <c r="C2170">
        <v>4500000</v>
      </c>
      <c r="D2170">
        <v>26200</v>
      </c>
    </row>
    <row r="2171" spans="1:4" x14ac:dyDescent="0.25">
      <c r="A2171" t="str">
        <f>T("   731441")</f>
        <v xml:space="preserve">   731441</v>
      </c>
      <c r="B2171" t="str">
        <f>T("   GRILLAGES ET TREILLIS, EN FILS DE FER OU D'ACIER, NON-SOUDÉS AUX POINTS DE RENCONTRE, ZINGUÉS")</f>
        <v xml:space="preserve">   GRILLAGES ET TREILLIS, EN FILS DE FER OU D'ACIER, NON-SOUDÉS AUX POINTS DE RENCONTRE, ZINGUÉS</v>
      </c>
      <c r="C2171">
        <v>15289832</v>
      </c>
      <c r="D2171">
        <v>26054</v>
      </c>
    </row>
    <row r="2172" spans="1:4" x14ac:dyDescent="0.25">
      <c r="A2172" t="str">
        <f>T("   731449")</f>
        <v xml:space="preserve">   731449</v>
      </c>
      <c r="B2172"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2172">
        <v>15128516</v>
      </c>
      <c r="D2172">
        <v>63780</v>
      </c>
    </row>
    <row r="2173" spans="1:4" x14ac:dyDescent="0.25">
      <c r="A2173" t="str">
        <f>T("   731511")</f>
        <v xml:space="preserve">   731511</v>
      </c>
      <c r="B2173" t="str">
        <f>T("   Chaînes à rouleaux en fonte, fer ou acier")</f>
        <v xml:space="preserve">   Chaînes à rouleaux en fonte, fer ou acier</v>
      </c>
      <c r="C2173">
        <v>6213837</v>
      </c>
      <c r="D2173">
        <v>21764</v>
      </c>
    </row>
    <row r="2174" spans="1:4" x14ac:dyDescent="0.25">
      <c r="A2174" t="str">
        <f>T("   731589")</f>
        <v xml:space="preserve">   731589</v>
      </c>
      <c r="B2174" t="s">
        <v>353</v>
      </c>
      <c r="C2174">
        <v>215228</v>
      </c>
      <c r="D2174">
        <v>159</v>
      </c>
    </row>
    <row r="2175" spans="1:4" x14ac:dyDescent="0.25">
      <c r="A2175" t="str">
        <f>T("   731600")</f>
        <v xml:space="preserve">   731600</v>
      </c>
      <c r="B2175" t="str">
        <f>T("   Ancres, grappins et leurs parties, en fonte, fer ou acier")</f>
        <v xml:space="preserve">   Ancres, grappins et leurs parties, en fonte, fer ou acier</v>
      </c>
      <c r="C2175">
        <v>2586938</v>
      </c>
      <c r="D2175">
        <v>43800</v>
      </c>
    </row>
    <row r="2176" spans="1:4" x14ac:dyDescent="0.25">
      <c r="A2176" t="str">
        <f>T("   731700")</f>
        <v xml:space="preserve">   731700</v>
      </c>
      <c r="B2176"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2176">
        <v>223577794</v>
      </c>
      <c r="D2176">
        <v>932436</v>
      </c>
    </row>
    <row r="2177" spans="1:4" x14ac:dyDescent="0.25">
      <c r="A2177" t="str">
        <f>T("   731814")</f>
        <v xml:space="preserve">   731814</v>
      </c>
      <c r="B2177" t="str">
        <f>T("   Vis autotaraudeuses en fonte, fer ou acier (autres que vis à bois)")</f>
        <v xml:space="preserve">   Vis autotaraudeuses en fonte, fer ou acier (autres que vis à bois)</v>
      </c>
      <c r="C2177">
        <v>681847</v>
      </c>
      <c r="D2177">
        <v>1065</v>
      </c>
    </row>
    <row r="2178" spans="1:4" x14ac:dyDescent="0.25">
      <c r="A2178" t="str">
        <f>T("   731815")</f>
        <v xml:space="preserve">   731815</v>
      </c>
      <c r="B2178" t="s">
        <v>354</v>
      </c>
      <c r="C2178">
        <v>6112196</v>
      </c>
      <c r="D2178">
        <v>22640</v>
      </c>
    </row>
    <row r="2179" spans="1:4" x14ac:dyDescent="0.25">
      <c r="A2179" t="str">
        <f>T("   731816")</f>
        <v xml:space="preserve">   731816</v>
      </c>
      <c r="B2179" t="str">
        <f>T("   ÉCROUS EN FONTE, FER OU ACIER")</f>
        <v xml:space="preserve">   ÉCROUS EN FONTE, FER OU ACIER</v>
      </c>
      <c r="C2179">
        <v>320417</v>
      </c>
      <c r="D2179">
        <v>143</v>
      </c>
    </row>
    <row r="2180" spans="1:4" x14ac:dyDescent="0.25">
      <c r="A2180" t="str">
        <f>T("   731819")</f>
        <v xml:space="preserve">   731819</v>
      </c>
      <c r="B2180" t="str">
        <f>T("   Articles de boulonnerie et de visserie, filetés, en fonte, fer ou acier, n.d.a.")</f>
        <v xml:space="preserve">   Articles de boulonnerie et de visserie, filetés, en fonte, fer ou acier, n.d.a.</v>
      </c>
      <c r="C2180">
        <v>116105</v>
      </c>
      <c r="D2180">
        <v>50</v>
      </c>
    </row>
    <row r="2181" spans="1:4" x14ac:dyDescent="0.25">
      <c r="A2181" t="str">
        <f>T("   731829")</f>
        <v xml:space="preserve">   731829</v>
      </c>
      <c r="B2181" t="str">
        <f>T("   Articles de boulonnerie et de visserie non filetés, en fonte, fer ou acier, n.d.a.")</f>
        <v xml:space="preserve">   Articles de boulonnerie et de visserie non filetés, en fonte, fer ou acier, n.d.a.</v>
      </c>
      <c r="C2181">
        <v>2654096</v>
      </c>
      <c r="D2181">
        <v>30345</v>
      </c>
    </row>
    <row r="2182" spans="1:4" x14ac:dyDescent="0.25">
      <c r="A2182" t="str">
        <f>T("   731920")</f>
        <v xml:space="preserve">   731920</v>
      </c>
      <c r="B2182" t="str">
        <f>T("   EPINGLES DE S¹RETÉ EN FER OU EN ACIER")</f>
        <v xml:space="preserve">   EPINGLES DE S¹RETÉ EN FER OU EN ACIER</v>
      </c>
      <c r="C2182">
        <v>1470166</v>
      </c>
      <c r="D2182">
        <v>2646</v>
      </c>
    </row>
    <row r="2183" spans="1:4" x14ac:dyDescent="0.25">
      <c r="A2183" t="str">
        <f>T("   731930")</f>
        <v xml:space="preserve">   731930</v>
      </c>
      <c r="B2183" t="str">
        <f>T("   Autres épingles en fer ou en acier, n.d.a.")</f>
        <v xml:space="preserve">   Autres épingles en fer ou en acier, n.d.a.</v>
      </c>
      <c r="C2183">
        <v>6225180</v>
      </c>
      <c r="D2183">
        <v>26777</v>
      </c>
    </row>
    <row r="2184" spans="1:4" x14ac:dyDescent="0.25">
      <c r="A2184" t="str">
        <f>T("   732020")</f>
        <v xml:space="preserve">   732020</v>
      </c>
      <c r="B2184" t="str">
        <f>T("   RESSORTS EN HÉLICE EN FER OU EN ACIER (À L'EXCL. DES RESSORTS SPIRAUX PLATS, RESSORTS DE MONTRES, RESSORTS POUR CANNES ET MANCHES DE PARAPLUIES ET DE PARASOLS ET SAUF RESSORTS-AMORTISSEURS DE LA SECTION 17)")</f>
        <v xml:space="preserve">   RESSORTS EN HÉLICE EN FER OU EN ACIER (À L'EXCL. DES RESSORTS SPIRAUX PLATS, RESSORTS DE MONTRES, RESSORTS POUR CANNES ET MANCHES DE PARAPLUIES ET DE PARASOLS ET SAUF RESSORTS-AMORTISSEURS DE LA SECTION 17)</v>
      </c>
      <c r="C2184">
        <v>1934301</v>
      </c>
      <c r="D2184">
        <v>3216</v>
      </c>
    </row>
    <row r="2185" spans="1:4" x14ac:dyDescent="0.25">
      <c r="A2185" t="str">
        <f>T("   732090")</f>
        <v xml:space="preserve">   732090</v>
      </c>
      <c r="B2185" t="s">
        <v>355</v>
      </c>
      <c r="C2185">
        <v>3280000</v>
      </c>
      <c r="D2185">
        <v>26300</v>
      </c>
    </row>
    <row r="2186" spans="1:4" x14ac:dyDescent="0.25">
      <c r="A2186" t="str">
        <f>T("   732111")</f>
        <v xml:space="preserve">   732111</v>
      </c>
      <c r="B2186" t="s">
        <v>356</v>
      </c>
      <c r="C2186">
        <v>28020992</v>
      </c>
      <c r="D2186">
        <v>22359</v>
      </c>
    </row>
    <row r="2187" spans="1:4" x14ac:dyDescent="0.25">
      <c r="A2187" t="str">
        <f>T("   732181")</f>
        <v xml:space="preserve">   732181</v>
      </c>
      <c r="B2187" t="s">
        <v>358</v>
      </c>
      <c r="C2187">
        <v>242367</v>
      </c>
      <c r="D2187">
        <v>56</v>
      </c>
    </row>
    <row r="2188" spans="1:4" x14ac:dyDescent="0.25">
      <c r="A2188" t="str">
        <f>T("   732190")</f>
        <v xml:space="preserve">   732190</v>
      </c>
      <c r="B2188" t="str">
        <f>T("   Parties des appareils ménagers chauffants non-électriques du n° 7321, n.d.a.")</f>
        <v xml:space="preserve">   Parties des appareils ménagers chauffants non-électriques du n° 7321, n.d.a.</v>
      </c>
      <c r="C2188">
        <v>6232</v>
      </c>
      <c r="D2188">
        <v>18</v>
      </c>
    </row>
    <row r="2189" spans="1:4" x14ac:dyDescent="0.25">
      <c r="A2189" t="str">
        <f>T("   732310")</f>
        <v xml:space="preserve">   732310</v>
      </c>
      <c r="B2189"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2189">
        <v>6794798</v>
      </c>
      <c r="D2189">
        <v>41450</v>
      </c>
    </row>
    <row r="2190" spans="1:4" x14ac:dyDescent="0.25">
      <c r="A2190" t="str">
        <f>T("   732392")</f>
        <v xml:space="preserve">   732392</v>
      </c>
      <c r="B2190" t="s">
        <v>360</v>
      </c>
      <c r="C2190">
        <v>400000</v>
      </c>
      <c r="D2190">
        <v>510</v>
      </c>
    </row>
    <row r="2191" spans="1:4" x14ac:dyDescent="0.25">
      <c r="A2191" t="str">
        <f>T("   732393")</f>
        <v xml:space="preserve">   732393</v>
      </c>
      <c r="B2191" t="s">
        <v>361</v>
      </c>
      <c r="C2191">
        <v>42467180</v>
      </c>
      <c r="D2191">
        <v>130146</v>
      </c>
    </row>
    <row r="2192" spans="1:4" x14ac:dyDescent="0.25">
      <c r="A2192" t="str">
        <f>T("   732394")</f>
        <v xml:space="preserve">   732394</v>
      </c>
      <c r="B2192" t="s">
        <v>362</v>
      </c>
      <c r="C2192">
        <v>28587616</v>
      </c>
      <c r="D2192">
        <v>122004</v>
      </c>
    </row>
    <row r="2193" spans="1:4" x14ac:dyDescent="0.25">
      <c r="A2193" t="str">
        <f>T("   732399")</f>
        <v xml:space="preserve">   732399</v>
      </c>
      <c r="B2193" t="s">
        <v>363</v>
      </c>
      <c r="C2193">
        <v>95619382</v>
      </c>
      <c r="D2193">
        <v>360577</v>
      </c>
    </row>
    <row r="2194" spans="1:4" x14ac:dyDescent="0.25">
      <c r="A2194" t="str">
        <f>T("   732410")</f>
        <v xml:space="preserve">   732410</v>
      </c>
      <c r="B2194" t="str">
        <f>T("   ÉVIERS ET LAVABOS EN ACIER INOXYDABLE")</f>
        <v xml:space="preserve">   ÉVIERS ET LAVABOS EN ACIER INOXYDABLE</v>
      </c>
      <c r="C2194">
        <v>14046076</v>
      </c>
      <c r="D2194">
        <v>37585</v>
      </c>
    </row>
    <row r="2195" spans="1:4" x14ac:dyDescent="0.25">
      <c r="A2195" t="str">
        <f>T("   732490")</f>
        <v xml:space="preserve">   732490</v>
      </c>
      <c r="B2195" t="s">
        <v>364</v>
      </c>
      <c r="C2195">
        <v>7981847</v>
      </c>
      <c r="D2195">
        <v>27373</v>
      </c>
    </row>
    <row r="2196" spans="1:4" x14ac:dyDescent="0.25">
      <c r="A2196" t="str">
        <f>T("   732619")</f>
        <v xml:space="preserve">   732619</v>
      </c>
      <c r="B2196"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2196">
        <v>907391</v>
      </c>
      <c r="D2196">
        <v>1787</v>
      </c>
    </row>
    <row r="2197" spans="1:4" x14ac:dyDescent="0.25">
      <c r="A2197" t="str">
        <f>T("   732620")</f>
        <v xml:space="preserve">   732620</v>
      </c>
      <c r="B2197" t="str">
        <f>T("   Ouvrages en fil de fer ou d'acier, n.d.a.")</f>
        <v xml:space="preserve">   Ouvrages en fil de fer ou d'acier, n.d.a.</v>
      </c>
      <c r="C2197">
        <v>3775119</v>
      </c>
      <c r="D2197">
        <v>20860</v>
      </c>
    </row>
    <row r="2198" spans="1:4" x14ac:dyDescent="0.25">
      <c r="A2198" t="str">
        <f>T("   732690")</f>
        <v xml:space="preserve">   732690</v>
      </c>
      <c r="B2198"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2198">
        <v>115466648</v>
      </c>
      <c r="D2198">
        <v>245567</v>
      </c>
    </row>
    <row r="2199" spans="1:4" x14ac:dyDescent="0.25">
      <c r="A2199" t="str">
        <f>T("   741110")</f>
        <v xml:space="preserve">   741110</v>
      </c>
      <c r="B2199" t="str">
        <f>T("   Tubes et tuyaux en cuivre affiné")</f>
        <v xml:space="preserve">   Tubes et tuyaux en cuivre affiné</v>
      </c>
      <c r="C2199">
        <v>92515</v>
      </c>
      <c r="D2199">
        <v>600</v>
      </c>
    </row>
    <row r="2200" spans="1:4" x14ac:dyDescent="0.25">
      <c r="A2200" t="str">
        <f>T("   741220")</f>
        <v xml:space="preserve">   741220</v>
      </c>
      <c r="B2200" t="str">
        <f>T("   Accessoires de tuyauterie -raccords, coudes, manchons, par exemple-, en alliages de cuivre")</f>
        <v xml:space="preserve">   Accessoires de tuyauterie -raccords, coudes, manchons, par exemple-, en alliages de cuivre</v>
      </c>
      <c r="C2200">
        <v>371956</v>
      </c>
      <c r="D2200">
        <v>1412</v>
      </c>
    </row>
    <row r="2201" spans="1:4" x14ac:dyDescent="0.25">
      <c r="A2201" t="str">
        <f>T("   741510")</f>
        <v xml:space="preserve">   741510</v>
      </c>
      <c r="B2201" t="str">
        <f>T("   Pointes et clous, punaises, crampons appointés, agrafes et simil., en cuivre ou avec tige en fer ou en acier et tête en cuivre (sauf agrafes présentées en barrettes)")</f>
        <v xml:space="preserve">   Pointes et clous, punaises, crampons appointés, agrafes et simil., en cuivre ou avec tige en fer ou en acier et tête en cuivre (sauf agrafes présentées en barrettes)</v>
      </c>
      <c r="C2201">
        <v>3750000</v>
      </c>
      <c r="D2201">
        <v>35100</v>
      </c>
    </row>
    <row r="2202" spans="1:4" x14ac:dyDescent="0.25">
      <c r="A2202" t="str">
        <f>T("   741999")</f>
        <v xml:space="preserve">   741999</v>
      </c>
      <c r="B2202" t="str">
        <f>T("   Ouvrages en cuivre, n.d.a.")</f>
        <v xml:space="preserve">   Ouvrages en cuivre, n.d.a.</v>
      </c>
      <c r="C2202">
        <v>11337377</v>
      </c>
      <c r="D2202">
        <v>5007</v>
      </c>
    </row>
    <row r="2203" spans="1:4" x14ac:dyDescent="0.25">
      <c r="A2203" t="str">
        <f>T("   760410")</f>
        <v xml:space="preserve">   760410</v>
      </c>
      <c r="B2203" t="str">
        <f>T("   BARRES ET PROFILÉS EN ALUMINIUM NON-ALLIÉ, N.D.A.")</f>
        <v xml:space="preserve">   BARRES ET PROFILÉS EN ALUMINIUM NON-ALLIÉ, N.D.A.</v>
      </c>
      <c r="C2203">
        <v>71001922</v>
      </c>
      <c r="D2203">
        <v>60630</v>
      </c>
    </row>
    <row r="2204" spans="1:4" x14ac:dyDescent="0.25">
      <c r="A2204" t="str">
        <f>T("   760421")</f>
        <v xml:space="preserve">   760421</v>
      </c>
      <c r="B2204" t="str">
        <f>T("   Profilés creux en alliages d'aluminium, n.d.a.")</f>
        <v xml:space="preserve">   Profilés creux en alliages d'aluminium, n.d.a.</v>
      </c>
      <c r="C2204">
        <v>463452874</v>
      </c>
      <c r="D2204">
        <v>474643</v>
      </c>
    </row>
    <row r="2205" spans="1:4" x14ac:dyDescent="0.25">
      <c r="A2205" t="str">
        <f>T("   760429")</f>
        <v xml:space="preserve">   760429</v>
      </c>
      <c r="B2205" t="str">
        <f>T("   Barres et profilés pleins en alliages d'aluminium, n.d.a.")</f>
        <v xml:space="preserve">   Barres et profilés pleins en alliages d'aluminium, n.d.a.</v>
      </c>
      <c r="C2205">
        <v>192272008</v>
      </c>
      <c r="D2205">
        <v>475996</v>
      </c>
    </row>
    <row r="2206" spans="1:4" x14ac:dyDescent="0.25">
      <c r="A2206" t="str">
        <f>T("   760612")</f>
        <v xml:space="preserve">   760612</v>
      </c>
      <c r="B2206" t="str">
        <f>T("   Tôles et bandes en alliages d'aluminium, d'une épaisseur &gt; 0,2 mm, de forme carrée ou rectangulaire (sauf tôles et bandes déployées)")</f>
        <v xml:space="preserve">   Tôles et bandes en alliages d'aluminium, d'une épaisseur &gt; 0,2 mm, de forme carrée ou rectangulaire (sauf tôles et bandes déployées)</v>
      </c>
      <c r="C2206">
        <v>20915019</v>
      </c>
      <c r="D2206">
        <v>20261</v>
      </c>
    </row>
    <row r="2207" spans="1:4" x14ac:dyDescent="0.25">
      <c r="A2207" t="str">
        <f>T("   760692")</f>
        <v xml:space="preserve">   760692</v>
      </c>
      <c r="B2207" t="str">
        <f>T("   Tôles et bandes en alliages d'aluminium, d'une épaisseur &gt; 0,2 mm, de forme autre que carrée ou rectangulaire")</f>
        <v xml:space="preserve">   Tôles et bandes en alliages d'aluminium, d'une épaisseur &gt; 0,2 mm, de forme autre que carrée ou rectangulaire</v>
      </c>
      <c r="C2207">
        <v>975578</v>
      </c>
      <c r="D2207">
        <v>10421</v>
      </c>
    </row>
    <row r="2208" spans="1:4" x14ac:dyDescent="0.25">
      <c r="A2208" t="str">
        <f>T("   761010")</f>
        <v xml:space="preserve">   761010</v>
      </c>
      <c r="B2208" t="str">
        <f>T("   Portes, fenêtres et leurs cadres, chambranles et seuils, en aluminium (sauf pièces de garnissage)")</f>
        <v xml:space="preserve">   Portes, fenêtres et leurs cadres, chambranles et seuils, en aluminium (sauf pièces de garnissage)</v>
      </c>
      <c r="C2208">
        <v>324310309</v>
      </c>
      <c r="D2208">
        <v>689325</v>
      </c>
    </row>
    <row r="2209" spans="1:4" x14ac:dyDescent="0.25">
      <c r="A2209" t="str">
        <f>T("   761090")</f>
        <v xml:space="preserve">   761090</v>
      </c>
      <c r="B2209"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2209">
        <v>102568754</v>
      </c>
      <c r="D2209">
        <v>238146</v>
      </c>
    </row>
    <row r="2210" spans="1:4" x14ac:dyDescent="0.25">
      <c r="A2210" t="str">
        <f>T("   761290")</f>
        <v xml:space="preserve">   761290</v>
      </c>
      <c r="B2210" t="str">
        <f>T("   Réservoirs, fûts, tambours, bidons, boîtes et récipients simil., en aluminium, y.c. les étuis tubulaires rigides, pour toutes matières, sauf gaz comprimés ou liquéfiés, d'une contenance &lt;= 300 l, n.d.a.")</f>
        <v xml:space="preserve">   Réservoirs, fûts, tambours, bidons, boîtes et récipients simil., en aluminium, y.c. les étuis tubulaires rigides, pour toutes matières, sauf gaz comprimés ou liquéfiés, d'une contenance &lt;= 300 l, n.d.a.</v>
      </c>
      <c r="C2210">
        <v>7477860</v>
      </c>
      <c r="D2210">
        <v>26000</v>
      </c>
    </row>
    <row r="2211" spans="1:4" x14ac:dyDescent="0.25">
      <c r="A2211" t="str">
        <f>T("   761519")</f>
        <v xml:space="preserve">   761519</v>
      </c>
      <c r="B2211" t="s">
        <v>373</v>
      </c>
      <c r="C2211">
        <v>78251409</v>
      </c>
      <c r="D2211">
        <v>246712</v>
      </c>
    </row>
    <row r="2212" spans="1:4" x14ac:dyDescent="0.25">
      <c r="A2212" t="str">
        <f>T("   761520")</f>
        <v xml:space="preserve">   761520</v>
      </c>
      <c r="B2212" t="str">
        <f>T("   Articles d'hygiène ou de toilette, et leurs parties, en aluminium (sauf bidons, boîtes et récipients simil. du n° 7612 et sauf accessoires de tuyauterie)")</f>
        <v xml:space="preserve">   Articles d'hygiène ou de toilette, et leurs parties, en aluminium (sauf bidons, boîtes et récipients simil. du n° 7612 et sauf accessoires de tuyauterie)</v>
      </c>
      <c r="C2212">
        <v>421097</v>
      </c>
      <c r="D2212">
        <v>1807</v>
      </c>
    </row>
    <row r="2213" spans="1:4" x14ac:dyDescent="0.25">
      <c r="A2213" t="str">
        <f>T("   761610")</f>
        <v xml:space="preserve">   761610</v>
      </c>
      <c r="B2213" t="s">
        <v>374</v>
      </c>
      <c r="C2213">
        <v>5012463</v>
      </c>
      <c r="D2213">
        <v>38980</v>
      </c>
    </row>
    <row r="2214" spans="1:4" x14ac:dyDescent="0.25">
      <c r="A2214" t="str">
        <f>T("   761699")</f>
        <v xml:space="preserve">   761699</v>
      </c>
      <c r="B2214" t="str">
        <f>T("   Ouvrages en aluminium, n.d.a.")</f>
        <v xml:space="preserve">   Ouvrages en aluminium, n.d.a.</v>
      </c>
      <c r="C2214">
        <v>13932938</v>
      </c>
      <c r="D2214">
        <v>110950</v>
      </c>
    </row>
    <row r="2215" spans="1:4" x14ac:dyDescent="0.25">
      <c r="A2215" t="str">
        <f>T("   780199")</f>
        <v xml:space="preserve">   780199</v>
      </c>
      <c r="B2215" t="str">
        <f>T("   Plomb sous forme brute (sauf plomb affiné et plomb contenant de l'antimoine comme autre élément prédominant en poids)")</f>
        <v xml:space="preserve">   Plomb sous forme brute (sauf plomb affiné et plomb contenant de l'antimoine comme autre élément prédominant en poids)</v>
      </c>
      <c r="C2215">
        <v>3353533</v>
      </c>
      <c r="D2215">
        <v>247.5</v>
      </c>
    </row>
    <row r="2216" spans="1:4" x14ac:dyDescent="0.25">
      <c r="A2216" t="str">
        <f>T("   820110")</f>
        <v xml:space="preserve">   820110</v>
      </c>
      <c r="B2216" t="str">
        <f>T("   Bêches et pelles, avec partie travaillante en métaux communs")</f>
        <v xml:space="preserve">   Bêches et pelles, avec partie travaillante en métaux communs</v>
      </c>
      <c r="C2216">
        <v>30211600</v>
      </c>
      <c r="D2216">
        <v>77390</v>
      </c>
    </row>
    <row r="2217" spans="1:4" x14ac:dyDescent="0.25">
      <c r="A2217" t="str">
        <f>T("   820130")</f>
        <v xml:space="preserve">   820130</v>
      </c>
      <c r="B2217" t="str">
        <f>T("   Pioches, pics, houes, binettes, râteaux et racloirs, avec partie travaillante en métaux communs (sauf piolets)")</f>
        <v xml:space="preserve">   Pioches, pics, houes, binettes, râteaux et racloirs, avec partie travaillante en métaux communs (sauf piolets)</v>
      </c>
      <c r="C2217">
        <v>12675962</v>
      </c>
      <c r="D2217">
        <v>45724</v>
      </c>
    </row>
    <row r="2218" spans="1:4" x14ac:dyDescent="0.25">
      <c r="A2218" t="str">
        <f>T("   820140")</f>
        <v xml:space="preserve">   820140</v>
      </c>
      <c r="B2218" t="str">
        <f>T("   Haches, serpes et outils simil. à taillants, avec partie travaillante en métaux communs")</f>
        <v xml:space="preserve">   Haches, serpes et outils simil. à taillants, avec partie travaillante en métaux communs</v>
      </c>
      <c r="C2218">
        <v>37398343</v>
      </c>
      <c r="D2218">
        <v>37358</v>
      </c>
    </row>
    <row r="2219" spans="1:4" x14ac:dyDescent="0.25">
      <c r="A2219" t="str">
        <f>T("   820160")</f>
        <v xml:space="preserve">   820160</v>
      </c>
      <c r="B2219" t="str">
        <f>T("   Cisailles à haies, sécateurs et outils simil. maniés à deux mains, avec partie travaillante en métaux communs")</f>
        <v xml:space="preserve">   Cisailles à haies, sécateurs et outils simil. maniés à deux mains, avec partie travaillante en métaux communs</v>
      </c>
      <c r="C2219">
        <v>222217</v>
      </c>
      <c r="D2219">
        <v>149</v>
      </c>
    </row>
    <row r="2220" spans="1:4" x14ac:dyDescent="0.25">
      <c r="A2220" t="str">
        <f>T("   820190")</f>
        <v xml:space="preserve">   820190</v>
      </c>
      <c r="B2220" t="s">
        <v>375</v>
      </c>
      <c r="C2220">
        <v>839629</v>
      </c>
      <c r="D2220">
        <v>8688</v>
      </c>
    </row>
    <row r="2221" spans="1:4" x14ac:dyDescent="0.25">
      <c r="A2221" t="str">
        <f>T("   820210")</f>
        <v xml:space="preserve">   820210</v>
      </c>
      <c r="B2221" t="str">
        <f>T("   Scies à main, avec partie travaillante en métaux communs (à l'excl. des tronçonneuses)")</f>
        <v xml:space="preserve">   Scies à main, avec partie travaillante en métaux communs (à l'excl. des tronçonneuses)</v>
      </c>
      <c r="C2221">
        <v>1224883</v>
      </c>
      <c r="D2221">
        <v>2318</v>
      </c>
    </row>
    <row r="2222" spans="1:4" x14ac:dyDescent="0.25">
      <c r="A2222" t="str">
        <f>T("   820239")</f>
        <v xml:space="preserve">   820239</v>
      </c>
      <c r="B2222" t="str">
        <f>T("   Lames de scies circulaires, y.c. les lames de fraises-scies, et leurs parties, en métaux communs et avec partie travaillante en matières autres que l'acier")</f>
        <v xml:space="preserve">   Lames de scies circulaires, y.c. les lames de fraises-scies, et leurs parties, en métaux communs et avec partie travaillante en matières autres que l'acier</v>
      </c>
      <c r="C2222">
        <v>707781</v>
      </c>
      <c r="D2222">
        <v>2500</v>
      </c>
    </row>
    <row r="2223" spans="1:4" x14ac:dyDescent="0.25">
      <c r="A2223" t="str">
        <f>T("   820299")</f>
        <v xml:space="preserve">   820299</v>
      </c>
      <c r="B2223" t="s">
        <v>376</v>
      </c>
      <c r="C2223">
        <v>6273651</v>
      </c>
      <c r="D2223">
        <v>10000</v>
      </c>
    </row>
    <row r="2224" spans="1:4" x14ac:dyDescent="0.25">
      <c r="A2224" t="str">
        <f>T("   820320")</f>
        <v xml:space="preserve">   820320</v>
      </c>
      <c r="B2224" t="str">
        <f>T("   PINCES -MÊME COUPANTES-, TENAILLES, BRUCELLES À USAGE NON-MÉDICAL ET OUTILS SIMIL. À MAIN, EN MÉTAUX COMMUNS")</f>
        <v xml:space="preserve">   PINCES -MÊME COUPANTES-, TENAILLES, BRUCELLES À USAGE NON-MÉDICAL ET OUTILS SIMIL. À MAIN, EN MÉTAUX COMMUNS</v>
      </c>
      <c r="C2224">
        <v>145243</v>
      </c>
      <c r="D2224">
        <v>107</v>
      </c>
    </row>
    <row r="2225" spans="1:4" x14ac:dyDescent="0.25">
      <c r="A2225" t="str">
        <f>T("   820340")</f>
        <v xml:space="preserve">   820340</v>
      </c>
      <c r="B2225" t="str">
        <f>T("   Coupe-tubes, coupe-boulons, emporte-pièce et outils simil., à main, en métaux communs")</f>
        <v xml:space="preserve">   Coupe-tubes, coupe-boulons, emporte-pièce et outils simil., à main, en métaux communs</v>
      </c>
      <c r="C2225">
        <v>1287419</v>
      </c>
      <c r="D2225">
        <v>2436</v>
      </c>
    </row>
    <row r="2226" spans="1:4" x14ac:dyDescent="0.25">
      <c r="A2226" t="str">
        <f>T("   820411")</f>
        <v xml:space="preserve">   820411</v>
      </c>
      <c r="B2226" t="str">
        <f>T("   Clés de serrage à main, y.c. -les clés dynamométriques-, en métaux communs, à ouverture fixe")</f>
        <v xml:space="preserve">   Clés de serrage à main, y.c. -les clés dynamométriques-, en métaux communs, à ouverture fixe</v>
      </c>
      <c r="C2226">
        <v>40098</v>
      </c>
      <c r="D2226">
        <v>300</v>
      </c>
    </row>
    <row r="2227" spans="1:4" x14ac:dyDescent="0.25">
      <c r="A2227" t="str">
        <f>T("   820520")</f>
        <v xml:space="preserve">   820520</v>
      </c>
      <c r="B2227" t="str">
        <f>T("   Marteaux et masses, avec partie travaillante en métaux communs")</f>
        <v xml:space="preserve">   Marteaux et masses, avec partie travaillante en métaux communs</v>
      </c>
      <c r="C2227">
        <v>4632645</v>
      </c>
      <c r="D2227">
        <v>19089</v>
      </c>
    </row>
    <row r="2228" spans="1:4" x14ac:dyDescent="0.25">
      <c r="A2228" t="str">
        <f>T("   820530")</f>
        <v xml:space="preserve">   820530</v>
      </c>
      <c r="B2228" t="str">
        <f>T("   Rabots, ciseaux, gouges et outils tranchants simil. à main pour le travail du bois")</f>
        <v xml:space="preserve">   Rabots, ciseaux, gouges et outils tranchants simil. à main pour le travail du bois</v>
      </c>
      <c r="C2228">
        <v>3216081</v>
      </c>
      <c r="D2228">
        <v>6794</v>
      </c>
    </row>
    <row r="2229" spans="1:4" x14ac:dyDescent="0.25">
      <c r="A2229" t="str">
        <f>T("   820540")</f>
        <v xml:space="preserve">   820540</v>
      </c>
      <c r="B2229" t="str">
        <f>T("   Tournevis à main")</f>
        <v xml:space="preserve">   Tournevis à main</v>
      </c>
      <c r="C2229">
        <v>23250000</v>
      </c>
      <c r="D2229">
        <v>140840</v>
      </c>
    </row>
    <row r="2230" spans="1:4" x14ac:dyDescent="0.25">
      <c r="A2230" t="str">
        <f>T("   820551")</f>
        <v xml:space="preserve">   820551</v>
      </c>
      <c r="B2230" t="str">
        <f>T("   Outils à main d'économie domestique, non mécaniques, avec partie travaillante en métaux communs, n.d.a.")</f>
        <v xml:space="preserve">   Outils à main d'économie domestique, non mécaniques, avec partie travaillante en métaux communs, n.d.a.</v>
      </c>
      <c r="C2230">
        <v>4600690</v>
      </c>
      <c r="D2230">
        <v>5353</v>
      </c>
    </row>
    <row r="2231" spans="1:4" x14ac:dyDescent="0.25">
      <c r="A2231" t="str">
        <f>T("   820559")</f>
        <v xml:space="preserve">   820559</v>
      </c>
      <c r="B2231" t="str">
        <f>T("   Outils à main, y.c. -les diamants de vitrier-, en métaux communs, n.d.a.")</f>
        <v xml:space="preserve">   Outils à main, y.c. -les diamants de vitrier-, en métaux communs, n.d.a.</v>
      </c>
      <c r="C2231">
        <v>21586548</v>
      </c>
      <c r="D2231">
        <v>50755</v>
      </c>
    </row>
    <row r="2232" spans="1:4" x14ac:dyDescent="0.25">
      <c r="A2232" t="str">
        <f>T("   820560")</f>
        <v xml:space="preserve">   820560</v>
      </c>
      <c r="B2232" t="str">
        <f>T("   Lampes à souder et simil. (sauf appareils à souder fonctionnant au gaz)")</f>
        <v xml:space="preserve">   Lampes à souder et simil. (sauf appareils à souder fonctionnant au gaz)</v>
      </c>
      <c r="C2232">
        <v>414403</v>
      </c>
      <c r="D2232">
        <v>663</v>
      </c>
    </row>
    <row r="2233" spans="1:4" x14ac:dyDescent="0.25">
      <c r="A2233" t="str">
        <f>T("   820570")</f>
        <v xml:space="preserve">   820570</v>
      </c>
      <c r="B2233" t="str">
        <f>T("   Etaux, serre-joints et simil. (autres que ceux constituant des accessoires ou des parties de machines-outils)")</f>
        <v xml:space="preserve">   Etaux, serre-joints et simil. (autres que ceux constituant des accessoires ou des parties de machines-outils)</v>
      </c>
      <c r="C2233">
        <v>431655</v>
      </c>
      <c r="D2233">
        <v>808</v>
      </c>
    </row>
    <row r="2234" spans="1:4" x14ac:dyDescent="0.25">
      <c r="A2234" t="str">
        <f>T("   820590")</f>
        <v xml:space="preserve">   820590</v>
      </c>
      <c r="B2234" t="str">
        <f>T("   Assortiments d'outils d'au moins deux des sous-positions du n° 8205")</f>
        <v xml:space="preserve">   Assortiments d'outils d'au moins deux des sous-positions du n° 8205</v>
      </c>
      <c r="C2234">
        <v>1537554</v>
      </c>
      <c r="D2234">
        <v>2000</v>
      </c>
    </row>
    <row r="2235" spans="1:4" x14ac:dyDescent="0.25">
      <c r="A2235" t="str">
        <f>T("   820600")</f>
        <v xml:space="preserve">   820600</v>
      </c>
      <c r="B2235" t="str">
        <f>T("   Outils d'au moins deux du n° 8202 à 8205, conditionnés en assortiments pour la vente au détail")</f>
        <v xml:space="preserve">   Outils d'au moins deux du n° 8202 à 8205, conditionnés en assortiments pour la vente au détail</v>
      </c>
      <c r="C2235">
        <v>188835</v>
      </c>
      <c r="D2235">
        <v>217</v>
      </c>
    </row>
    <row r="2236" spans="1:4" x14ac:dyDescent="0.25">
      <c r="A2236" t="str">
        <f>T("   820890")</f>
        <v xml:space="preserve">   820890</v>
      </c>
      <c r="B2236" t="s">
        <v>377</v>
      </c>
      <c r="C2236">
        <v>2099769</v>
      </c>
      <c r="D2236">
        <v>3732</v>
      </c>
    </row>
    <row r="2237" spans="1:4" x14ac:dyDescent="0.25">
      <c r="A2237" t="str">
        <f>T("   821000")</f>
        <v xml:space="preserve">   821000</v>
      </c>
      <c r="B2237" t="s">
        <v>378</v>
      </c>
      <c r="C2237">
        <v>70944</v>
      </c>
      <c r="D2237">
        <v>40</v>
      </c>
    </row>
    <row r="2238" spans="1:4" x14ac:dyDescent="0.25">
      <c r="A2238" t="str">
        <f>T("   821191")</f>
        <v xml:space="preserve">   821191</v>
      </c>
      <c r="B2238" t="str">
        <f>T("   Couteaux de table à lame fixe, en métaux communs, y.c. les manches (sauf couteaux à beurre et couteaux à poisson)")</f>
        <v xml:space="preserve">   Couteaux de table à lame fixe, en métaux communs, y.c. les manches (sauf couteaux à beurre et couteaux à poisson)</v>
      </c>
      <c r="C2238">
        <v>2251524</v>
      </c>
      <c r="D2238">
        <v>3819</v>
      </c>
    </row>
    <row r="2239" spans="1:4" x14ac:dyDescent="0.25">
      <c r="A2239" t="str">
        <f>T("   821192")</f>
        <v xml:space="preserve">   821192</v>
      </c>
      <c r="B2239" t="s">
        <v>379</v>
      </c>
      <c r="C2239">
        <v>655041</v>
      </c>
      <c r="D2239">
        <v>1383</v>
      </c>
    </row>
    <row r="2240" spans="1:4" x14ac:dyDescent="0.25">
      <c r="A2240" t="str">
        <f>T("   821210")</f>
        <v xml:space="preserve">   821210</v>
      </c>
      <c r="B2240" t="str">
        <f>T("   Rasoirs et rasoirs de sûreté non-électriques, en métaux communs")</f>
        <v xml:space="preserve">   Rasoirs et rasoirs de sûreté non-électriques, en métaux communs</v>
      </c>
      <c r="C2240">
        <v>6891969</v>
      </c>
      <c r="D2240">
        <v>20534</v>
      </c>
    </row>
    <row r="2241" spans="1:4" x14ac:dyDescent="0.25">
      <c r="A2241" t="str">
        <f>T("   821220")</f>
        <v xml:space="preserve">   821220</v>
      </c>
      <c r="B2241" t="str">
        <f>T("   LAMES DE RASOIRS DE S¹RETÉ, EN MÉTAUX COMMUNS, Y.C. LES ÉBAUCHES EN BANDES")</f>
        <v xml:space="preserve">   LAMES DE RASOIRS DE S¹RETÉ, EN MÉTAUX COMMUNS, Y.C. LES ÉBAUCHES EN BANDES</v>
      </c>
      <c r="C2241">
        <v>56011</v>
      </c>
      <c r="D2241">
        <v>435</v>
      </c>
    </row>
    <row r="2242" spans="1:4" x14ac:dyDescent="0.25">
      <c r="A2242" t="str">
        <f>T("   821290")</f>
        <v xml:space="preserve">   821290</v>
      </c>
      <c r="B2242" t="str">
        <f>T("   PARTIES DE RASOIRS ET DE RASOIRS DE S¹RETÉ NON-ÉLECTRIQUES, EN MÉTAUX COMMUNS (SAUF LAMES DE RASOIRS DE S¹RETÉ, Y.C. LES ÉBAUCHES EN BANDE)")</f>
        <v xml:space="preserve">   PARTIES DE RASOIRS ET DE RASOIRS DE S¹RETÉ NON-ÉLECTRIQUES, EN MÉTAUX COMMUNS (SAUF LAMES DE RASOIRS DE S¹RETÉ, Y.C. LES ÉBAUCHES EN BANDE)</v>
      </c>
      <c r="C2242">
        <v>5500000</v>
      </c>
      <c r="D2242">
        <v>20150</v>
      </c>
    </row>
    <row r="2243" spans="1:4" x14ac:dyDescent="0.25">
      <c r="A2243" t="str">
        <f>T("   821300")</f>
        <v xml:space="preserve">   821300</v>
      </c>
      <c r="B2243"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2243">
        <v>7395999</v>
      </c>
      <c r="D2243">
        <v>17047.5</v>
      </c>
    </row>
    <row r="2244" spans="1:4" x14ac:dyDescent="0.25">
      <c r="A2244" t="str">
        <f>T("   821410")</f>
        <v xml:space="preserve">   821410</v>
      </c>
      <c r="B2244" t="str">
        <f>T("   Coupe-papier, ouvre-lettres, grattoirs, taille-crayons et leurs lames, en métaux communs (sauf machines, appareils et instruments à usage similaire du chapitre 84)")</f>
        <v xml:space="preserve">   Coupe-papier, ouvre-lettres, grattoirs, taille-crayons et leurs lames, en métaux communs (sauf machines, appareils et instruments à usage similaire du chapitre 84)</v>
      </c>
      <c r="C2244">
        <v>3110368</v>
      </c>
      <c r="D2244">
        <v>4774</v>
      </c>
    </row>
    <row r="2245" spans="1:4" x14ac:dyDescent="0.25">
      <c r="A2245" t="str">
        <f>T("   821490")</f>
        <v xml:space="preserve">   821490</v>
      </c>
      <c r="B2245" t="str">
        <f>T("   Tondeuses de coiffeur et autres articles à couper, n.d.a., en métaux communs")</f>
        <v xml:space="preserve">   Tondeuses de coiffeur et autres articles à couper, n.d.a., en métaux communs</v>
      </c>
      <c r="C2245">
        <v>4608118</v>
      </c>
      <c r="D2245">
        <v>643</v>
      </c>
    </row>
    <row r="2246" spans="1:4" x14ac:dyDescent="0.25">
      <c r="A2246" t="str">
        <f>T("   821510")</f>
        <v xml:space="preserve">   821510</v>
      </c>
      <c r="B2246" t="str">
        <f>T("   Assortiments de cuillers, fourchettes et autres articles du n° n° 8215, même avec couteaux jusqu'à un nombre égal, en métaux communs, comprenant au moins une partie argentée, dorée ou platinée")</f>
        <v xml:space="preserve">   Assortiments de cuillers, fourchettes et autres articles du n° n° 8215, même avec couteaux jusqu'à un nombre égal, en métaux communs, comprenant au moins une partie argentée, dorée ou platinée</v>
      </c>
      <c r="C2246">
        <v>467366</v>
      </c>
      <c r="D2246">
        <v>2000</v>
      </c>
    </row>
    <row r="2247" spans="1:4" x14ac:dyDescent="0.25">
      <c r="A2247" t="str">
        <f>T("   821520")</f>
        <v xml:space="preserve">   821520</v>
      </c>
      <c r="B2247" t="str">
        <f>T("   ASSORTIMENTS COMPOSÉS D'UN OU PLUSIEURS COUTEAUX DU N° 8211 ET D'UN NOMBRE AU MOINS ÉGAL DE CUILLERS, FOURCHETTES OU AUTRES ARTICLES DU N° N° 8215, EN MÉTAUX COMMUNS, NE COMPRENANT AUCUNE PARTIE ARGENTÉE, DORÉE OU PLATINÉE")</f>
        <v xml:space="preserve">   ASSORTIMENTS COMPOSÉS D'UN OU PLUSIEURS COUTEAUX DU N° 8211 ET D'UN NOMBRE AU MOINS ÉGAL DE CUILLERS, FOURCHETTES OU AUTRES ARTICLES DU N° N° 8215, EN MÉTAUX COMMUNS, NE COMPRENANT AUCUNE PARTIE ARGENTÉE, DORÉE OU PLATINÉE</v>
      </c>
      <c r="C2247">
        <v>1540821</v>
      </c>
      <c r="D2247">
        <v>7233</v>
      </c>
    </row>
    <row r="2248" spans="1:4" x14ac:dyDescent="0.25">
      <c r="A2248" t="str">
        <f>T("   821599")</f>
        <v xml:space="preserve">   821599</v>
      </c>
      <c r="B2248" t="s">
        <v>380</v>
      </c>
      <c r="C2248">
        <v>20769986</v>
      </c>
      <c r="D2248">
        <v>81709</v>
      </c>
    </row>
    <row r="2249" spans="1:4" x14ac:dyDescent="0.25">
      <c r="A2249" t="str">
        <f>T("   830110")</f>
        <v xml:space="preserve">   830110</v>
      </c>
      <c r="B2249" t="str">
        <f>T("   Cadenas, en métaux communs")</f>
        <v xml:space="preserve">   Cadenas, en métaux communs</v>
      </c>
      <c r="C2249">
        <v>13653127</v>
      </c>
      <c r="D2249">
        <v>50690</v>
      </c>
    </row>
    <row r="2250" spans="1:4" x14ac:dyDescent="0.25">
      <c r="A2250" t="str">
        <f>T("   830120")</f>
        <v xml:space="preserve">   830120</v>
      </c>
      <c r="B2250" t="str">
        <f>T("   Serrures des types utilisés pour véhicules automobiles, en métaux communs")</f>
        <v xml:space="preserve">   Serrures des types utilisés pour véhicules automobiles, en métaux communs</v>
      </c>
      <c r="C2250">
        <v>1932260</v>
      </c>
      <c r="D2250">
        <v>3507</v>
      </c>
    </row>
    <row r="2251" spans="1:4" x14ac:dyDescent="0.25">
      <c r="A2251" t="str">
        <f>T("   830130")</f>
        <v xml:space="preserve">   830130</v>
      </c>
      <c r="B2251" t="str">
        <f>T("   Serrures des types utilisés pour meubles, en métaux communs")</f>
        <v xml:space="preserve">   Serrures des types utilisés pour meubles, en métaux communs</v>
      </c>
      <c r="C2251">
        <v>5000000</v>
      </c>
      <c r="D2251">
        <v>33560</v>
      </c>
    </row>
    <row r="2252" spans="1:4" x14ac:dyDescent="0.25">
      <c r="A2252" t="str">
        <f>T("   830140")</f>
        <v xml:space="preserve">   830140</v>
      </c>
      <c r="B2252"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2252">
        <v>125303428</v>
      </c>
      <c r="D2252">
        <v>588392</v>
      </c>
    </row>
    <row r="2253" spans="1:4" x14ac:dyDescent="0.25">
      <c r="A2253" t="str">
        <f>T("   830160")</f>
        <v xml:space="preserve">   830160</v>
      </c>
      <c r="B2253" t="str">
        <f>T("   Parties des cadenas, serrures et verrous, ainsi que des fermoirs et montures-fermoirs, avec serrure, en métaux communs, n.d.a.")</f>
        <v xml:space="preserve">   Parties des cadenas, serrures et verrous, ainsi que des fermoirs et montures-fermoirs, avec serrure, en métaux communs, n.d.a.</v>
      </c>
      <c r="C2253">
        <v>8743572</v>
      </c>
      <c r="D2253">
        <v>48607</v>
      </c>
    </row>
    <row r="2254" spans="1:4" x14ac:dyDescent="0.25">
      <c r="A2254" t="str">
        <f>T("   830170")</f>
        <v xml:space="preserve">   830170</v>
      </c>
      <c r="B2254" t="str">
        <f>T("   Clefs présentées isolément, pour cadenas, serrures et verrous, ainsi que pour fermoirs et montures-fermoirs avec serrure, en métaux communs")</f>
        <v xml:space="preserve">   Clefs présentées isolément, pour cadenas, serrures et verrous, ainsi que pour fermoirs et montures-fermoirs avec serrure, en métaux communs</v>
      </c>
      <c r="C2254">
        <v>3870612</v>
      </c>
      <c r="D2254">
        <v>8144</v>
      </c>
    </row>
    <row r="2255" spans="1:4" x14ac:dyDescent="0.25">
      <c r="A2255" t="str">
        <f>T("   830210")</f>
        <v xml:space="preserve">   830210</v>
      </c>
      <c r="B2255" t="str">
        <f>T("   Charnières de tous genres, y.c. les paumelles et pentures, en métaux communs")</f>
        <v xml:space="preserve">   Charnières de tous genres, y.c. les paumelles et pentures, en métaux communs</v>
      </c>
      <c r="C2255">
        <v>4949043</v>
      </c>
      <c r="D2255">
        <v>36146</v>
      </c>
    </row>
    <row r="2256" spans="1:4" x14ac:dyDescent="0.25">
      <c r="A2256" t="str">
        <f>T("   830241")</f>
        <v xml:space="preserve">   830241</v>
      </c>
      <c r="B2256"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2256">
        <v>5731926</v>
      </c>
      <c r="D2256">
        <v>13378</v>
      </c>
    </row>
    <row r="2257" spans="1:4" x14ac:dyDescent="0.25">
      <c r="A2257" t="str">
        <f>T("   830242")</f>
        <v xml:space="preserve">   830242</v>
      </c>
      <c r="B2257" t="str">
        <f>T("   GARNITURES, FERRURES ET SIMIL., POUR MEUBLES, EN MÉTAUX COMMUNS (SAUF SERRURES ET VERROUS DE S¹RETÉ À CLEF ET SAUF CHARNIÈRES ET ROULETTES)")</f>
        <v xml:space="preserve">   GARNITURES, FERRURES ET SIMIL., POUR MEUBLES, EN MÉTAUX COMMUNS (SAUF SERRURES ET VERROUS DE S¹RETÉ À CLEF ET SAUF CHARNIÈRES ET ROULETTES)</v>
      </c>
      <c r="C2257">
        <v>4003123</v>
      </c>
      <c r="D2257">
        <v>4872</v>
      </c>
    </row>
    <row r="2258" spans="1:4" x14ac:dyDescent="0.25">
      <c r="A2258" t="str">
        <f>T("   830249")</f>
        <v xml:space="preserve">   830249</v>
      </c>
      <c r="B2258" t="s">
        <v>381</v>
      </c>
      <c r="C2258">
        <v>5572655</v>
      </c>
      <c r="D2258">
        <v>17732</v>
      </c>
    </row>
    <row r="2259" spans="1:4" x14ac:dyDescent="0.25">
      <c r="A2259" t="str">
        <f>T("   830250")</f>
        <v xml:space="preserve">   830250</v>
      </c>
      <c r="B2259" t="str">
        <f>T("   Patères, porte-chapeaux, supports et articles simil. en métaux communs")</f>
        <v xml:space="preserve">   Patères, porte-chapeaux, supports et articles simil. en métaux communs</v>
      </c>
      <c r="C2259">
        <v>3258169</v>
      </c>
      <c r="D2259">
        <v>8669</v>
      </c>
    </row>
    <row r="2260" spans="1:4" x14ac:dyDescent="0.25">
      <c r="A2260" t="str">
        <f>T("   830300")</f>
        <v xml:space="preserve">   830300</v>
      </c>
      <c r="B2260"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2260">
        <v>6754311</v>
      </c>
      <c r="D2260">
        <v>2305</v>
      </c>
    </row>
    <row r="2261" spans="1:4" x14ac:dyDescent="0.25">
      <c r="A2261" t="str">
        <f>T("   830520")</f>
        <v xml:space="preserve">   830520</v>
      </c>
      <c r="B2261" t="str">
        <f>T("   Agrafes présentées en barrettes, en métaux communs")</f>
        <v xml:space="preserve">   Agrafes présentées en barrettes, en métaux communs</v>
      </c>
      <c r="C2261">
        <v>163990</v>
      </c>
      <c r="D2261">
        <v>300</v>
      </c>
    </row>
    <row r="2262" spans="1:4" x14ac:dyDescent="0.25">
      <c r="A2262" t="str">
        <f>T("   830590")</f>
        <v xml:space="preserve">   830590</v>
      </c>
      <c r="B2262" t="s">
        <v>382</v>
      </c>
      <c r="C2262">
        <v>33760261</v>
      </c>
      <c r="D2262">
        <v>31926</v>
      </c>
    </row>
    <row r="2263" spans="1:4" x14ac:dyDescent="0.25">
      <c r="A2263" t="str">
        <f>T("   830629")</f>
        <v xml:space="preserve">   830629</v>
      </c>
      <c r="B2263" t="str">
        <f>T("   Statuettes et autres objets d'ornement, en métaux communs, ni argentés, ni dorés, ni platinés (sauf objets d'art, pièces de collection et antiquités)")</f>
        <v xml:space="preserve">   Statuettes et autres objets d'ornement, en métaux communs, ni argentés, ni dorés, ni platinés (sauf objets d'art, pièces de collection et antiquités)</v>
      </c>
      <c r="C2263">
        <v>3050583</v>
      </c>
      <c r="D2263">
        <v>11968</v>
      </c>
    </row>
    <row r="2264" spans="1:4" x14ac:dyDescent="0.25">
      <c r="A2264" t="str">
        <f>T("   830630")</f>
        <v xml:space="preserve">   830630</v>
      </c>
      <c r="B2264" t="str">
        <f>T("   Cadres pour photographies, gravures ou simil., en métaux communs; miroirs, en métaux communs (sauf éléments optiques)")</f>
        <v xml:space="preserve">   Cadres pour photographies, gravures ou simil., en métaux communs; miroirs, en métaux communs (sauf éléments optiques)</v>
      </c>
      <c r="C2264">
        <v>3084180</v>
      </c>
      <c r="D2264">
        <v>6400</v>
      </c>
    </row>
    <row r="2265" spans="1:4" x14ac:dyDescent="0.25">
      <c r="A2265" t="str">
        <f>T("   830710")</f>
        <v xml:space="preserve">   830710</v>
      </c>
      <c r="B2265" t="str">
        <f>T("   Tuyaux flexibles en fer ou en acier, même avec accessoires")</f>
        <v xml:space="preserve">   Tuyaux flexibles en fer ou en acier, même avec accessoires</v>
      </c>
      <c r="C2265">
        <v>1363751</v>
      </c>
      <c r="D2265">
        <v>191</v>
      </c>
    </row>
    <row r="2266" spans="1:4" x14ac:dyDescent="0.25">
      <c r="A2266" t="str">
        <f>T("   830790")</f>
        <v xml:space="preserve">   830790</v>
      </c>
      <c r="B2266" t="str">
        <f>T("   Tuyaux flexibles en métaux communs autres que le fer ou l'acier, même avec accessoires")</f>
        <v xml:space="preserve">   Tuyaux flexibles en métaux communs autres que le fer ou l'acier, même avec accessoires</v>
      </c>
      <c r="C2266">
        <v>965889</v>
      </c>
      <c r="D2266">
        <v>2260</v>
      </c>
    </row>
    <row r="2267" spans="1:4" x14ac:dyDescent="0.25">
      <c r="A2267" t="str">
        <f>T("   830810")</f>
        <v xml:space="preserve">   830810</v>
      </c>
      <c r="B2267" t="str">
        <f>T("   Agrafes, crochets et oeillets, en métaux communs, pour vêtements, chaussures, bâches, maroquinerie, ou pour toutes confections ou équipements")</f>
        <v xml:space="preserve">   Agrafes, crochets et oeillets, en métaux communs, pour vêtements, chaussures, bâches, maroquinerie, ou pour toutes confections ou équipements</v>
      </c>
      <c r="C2267">
        <v>4549630</v>
      </c>
      <c r="D2267">
        <v>8013</v>
      </c>
    </row>
    <row r="2268" spans="1:4" x14ac:dyDescent="0.25">
      <c r="A2268" t="str">
        <f>T("   830990")</f>
        <v xml:space="preserve">   830990</v>
      </c>
      <c r="B2268"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2268">
        <v>11025050</v>
      </c>
      <c r="D2268">
        <v>5670</v>
      </c>
    </row>
    <row r="2269" spans="1:4" x14ac:dyDescent="0.25">
      <c r="A2269" t="str">
        <f>T("   831110")</f>
        <v xml:space="preserve">   831110</v>
      </c>
      <c r="B2269" t="str">
        <f>T("   ÉLECTRODES ENROBÉES EN MÉTAUX COMMUNS, POUR LE SOUDAGE À L'ARC")</f>
        <v xml:space="preserve">   ÉLECTRODES ENROBÉES EN MÉTAUX COMMUNS, POUR LE SOUDAGE À L'ARC</v>
      </c>
      <c r="C2269">
        <v>4573984</v>
      </c>
      <c r="D2269">
        <v>31565</v>
      </c>
    </row>
    <row r="2270" spans="1:4" x14ac:dyDescent="0.25">
      <c r="A2270" t="str">
        <f>T("   831120")</f>
        <v xml:space="preserve">   831120</v>
      </c>
      <c r="B2270" t="str">
        <f>T("   Fils fourrés en métaux communs, pour le soudage à l'arc")</f>
        <v xml:space="preserve">   Fils fourrés en métaux communs, pour le soudage à l'arc</v>
      </c>
      <c r="C2270">
        <v>21609098</v>
      </c>
      <c r="D2270">
        <v>52000</v>
      </c>
    </row>
    <row r="2271" spans="1:4" x14ac:dyDescent="0.25">
      <c r="A2271" t="str">
        <f>T("   831130")</f>
        <v xml:space="preserve">   831130</v>
      </c>
      <c r="B2271" t="s">
        <v>384</v>
      </c>
      <c r="C2271">
        <v>19882293</v>
      </c>
      <c r="D2271">
        <v>111938</v>
      </c>
    </row>
    <row r="2272" spans="1:4" x14ac:dyDescent="0.25">
      <c r="A2272" t="str">
        <f>T("   831190")</f>
        <v xml:space="preserve">   831190</v>
      </c>
      <c r="B2272" t="s">
        <v>385</v>
      </c>
      <c r="C2272">
        <v>5500000</v>
      </c>
      <c r="D2272">
        <v>46120</v>
      </c>
    </row>
    <row r="2273" spans="1:4" x14ac:dyDescent="0.25">
      <c r="A2273" t="str">
        <f>T("   840310")</f>
        <v xml:space="preserve">   840310</v>
      </c>
      <c r="B2273" t="str">
        <f>T("   Chaudières pour le chauffage central, non-électriques (sauf chaudières à vapeur et chaudières dites -à eau surchauffée- du n° 8402)")</f>
        <v xml:space="preserve">   Chaudières pour le chauffage central, non-électriques (sauf chaudières à vapeur et chaudières dites -à eau surchauffée- du n° 8402)</v>
      </c>
      <c r="C2273">
        <v>430638</v>
      </c>
      <c r="D2273">
        <v>372</v>
      </c>
    </row>
    <row r="2274" spans="1:4" x14ac:dyDescent="0.25">
      <c r="A2274" t="str">
        <f>T("   840890")</f>
        <v xml:space="preserve">   840890</v>
      </c>
      <c r="B2274" t="s">
        <v>394</v>
      </c>
      <c r="C2274">
        <v>294428</v>
      </c>
      <c r="D2274">
        <v>13326</v>
      </c>
    </row>
    <row r="2275" spans="1:4" x14ac:dyDescent="0.25">
      <c r="A2275" t="str">
        <f>T("   840991")</f>
        <v xml:space="preserve">   840991</v>
      </c>
      <c r="B2275"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2275">
        <v>4062141</v>
      </c>
      <c r="D2275">
        <v>8757</v>
      </c>
    </row>
    <row r="2276" spans="1:4" x14ac:dyDescent="0.25">
      <c r="A2276" t="str">
        <f>T("   840999")</f>
        <v xml:space="preserve">   840999</v>
      </c>
      <c r="B2276"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2276">
        <v>7192927</v>
      </c>
      <c r="D2276">
        <v>9023</v>
      </c>
    </row>
    <row r="2277" spans="1:4" x14ac:dyDescent="0.25">
      <c r="A2277" t="str">
        <f>T("   841199")</f>
        <v xml:space="preserve">   841199</v>
      </c>
      <c r="B2277" t="str">
        <f>T("   Parties de turbines à gaz, n.d.a.")</f>
        <v xml:space="preserve">   Parties de turbines à gaz, n.d.a.</v>
      </c>
      <c r="C2277">
        <v>259808</v>
      </c>
      <c r="D2277">
        <v>520</v>
      </c>
    </row>
    <row r="2278" spans="1:4" x14ac:dyDescent="0.25">
      <c r="A2278" t="str">
        <f>T("   841229")</f>
        <v xml:space="preserve">   841229</v>
      </c>
      <c r="B2278" t="str">
        <f>T("   Moteurs hydrauliques (autres que turbines hydrauliques ou roues hydrauliques du n° 8410, turbines à vapeur et moteurs hydrauliques, à mouvement rectiligne -cylindres-)")</f>
        <v xml:space="preserve">   Moteurs hydrauliques (autres que turbines hydrauliques ou roues hydrauliques du n° 8410, turbines à vapeur et moteurs hydrauliques, à mouvement rectiligne -cylindres-)</v>
      </c>
      <c r="C2278">
        <v>1200292</v>
      </c>
      <c r="D2278">
        <v>1200</v>
      </c>
    </row>
    <row r="2279" spans="1:4" x14ac:dyDescent="0.25">
      <c r="A2279" t="str">
        <f>T("   841311")</f>
        <v xml:space="preserve">   841311</v>
      </c>
      <c r="B2279"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2279">
        <v>13646136</v>
      </c>
      <c r="D2279">
        <v>4140</v>
      </c>
    </row>
    <row r="2280" spans="1:4" x14ac:dyDescent="0.25">
      <c r="A2280" t="str">
        <f>T("   841320")</f>
        <v xml:space="preserve">   841320</v>
      </c>
      <c r="B2280"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2280">
        <v>4095567</v>
      </c>
      <c r="D2280">
        <v>1940</v>
      </c>
    </row>
    <row r="2281" spans="1:4" x14ac:dyDescent="0.25">
      <c r="A2281" t="str">
        <f>T("   841330")</f>
        <v xml:space="preserve">   841330</v>
      </c>
      <c r="B2281"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2281">
        <v>1330196</v>
      </c>
      <c r="D2281">
        <v>2000</v>
      </c>
    </row>
    <row r="2282" spans="1:4" x14ac:dyDescent="0.25">
      <c r="A2282" t="str">
        <f>T("   841370")</f>
        <v xml:space="preserve">   841370</v>
      </c>
      <c r="B2282" t="s">
        <v>397</v>
      </c>
      <c r="C2282">
        <v>411283</v>
      </c>
      <c r="D2282">
        <v>855</v>
      </c>
    </row>
    <row r="2283" spans="1:4" x14ac:dyDescent="0.25">
      <c r="A2283" t="str">
        <f>T("   841381")</f>
        <v xml:space="preserve">   841381</v>
      </c>
      <c r="B2283" t="s">
        <v>398</v>
      </c>
      <c r="C2283">
        <v>51487568</v>
      </c>
      <c r="D2283">
        <v>17466.669999999998</v>
      </c>
    </row>
    <row r="2284" spans="1:4" x14ac:dyDescent="0.25">
      <c r="A2284" t="str">
        <f>T("   841382")</f>
        <v xml:space="preserve">   841382</v>
      </c>
      <c r="B2284" t="str">
        <f>T("   Elévateurs à liquides (à l'excl. des pompes)")</f>
        <v xml:space="preserve">   Elévateurs à liquides (à l'excl. des pompes)</v>
      </c>
      <c r="C2284">
        <v>873376</v>
      </c>
      <c r="D2284">
        <v>4897</v>
      </c>
    </row>
    <row r="2285" spans="1:4" x14ac:dyDescent="0.25">
      <c r="A2285" t="str">
        <f>T("   841391")</f>
        <v xml:space="preserve">   841391</v>
      </c>
      <c r="B2285" t="str">
        <f>T("   Parties de pompes pour liquides, n.d.a.")</f>
        <v xml:space="preserve">   Parties de pompes pour liquides, n.d.a.</v>
      </c>
      <c r="C2285">
        <v>39787</v>
      </c>
      <c r="D2285">
        <v>38</v>
      </c>
    </row>
    <row r="2286" spans="1:4" x14ac:dyDescent="0.25">
      <c r="A2286" t="str">
        <f>T("   841420")</f>
        <v xml:space="preserve">   841420</v>
      </c>
      <c r="B2286" t="str">
        <f>T("   Pompes à air, à main ou à pied")</f>
        <v xml:space="preserve">   Pompes à air, à main ou à pied</v>
      </c>
      <c r="C2286">
        <v>1228273</v>
      </c>
      <c r="D2286">
        <v>3200</v>
      </c>
    </row>
    <row r="2287" spans="1:4" x14ac:dyDescent="0.25">
      <c r="A2287" t="str">
        <f>T("   841430")</f>
        <v xml:space="preserve">   841430</v>
      </c>
      <c r="B2287" t="str">
        <f>T("   Compresseurs des types utilisés pour équipements frigorifiques")</f>
        <v xml:space="preserve">   Compresseurs des types utilisés pour équipements frigorifiques</v>
      </c>
      <c r="C2287">
        <v>11497398</v>
      </c>
      <c r="D2287">
        <v>3594</v>
      </c>
    </row>
    <row r="2288" spans="1:4" x14ac:dyDescent="0.25">
      <c r="A2288" t="str">
        <f>T("   841440")</f>
        <v xml:space="preserve">   841440</v>
      </c>
      <c r="B2288" t="str">
        <f>T("   Compresseurs d'air montés sur châssis à roues et remorquables")</f>
        <v xml:space="preserve">   Compresseurs d'air montés sur châssis à roues et remorquables</v>
      </c>
      <c r="C2288">
        <v>3254212</v>
      </c>
      <c r="D2288">
        <v>3034</v>
      </c>
    </row>
    <row r="2289" spans="1:4" x14ac:dyDescent="0.25">
      <c r="A2289" t="str">
        <f>T("   841451")</f>
        <v xml:space="preserve">   841451</v>
      </c>
      <c r="B2289"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2289">
        <v>154461650</v>
      </c>
      <c r="D2289">
        <v>275085</v>
      </c>
    </row>
    <row r="2290" spans="1:4" x14ac:dyDescent="0.25">
      <c r="A2290" t="str">
        <f>T("   841459")</f>
        <v xml:space="preserve">   841459</v>
      </c>
      <c r="B2290"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2290">
        <v>17068142</v>
      </c>
      <c r="D2290">
        <v>36076</v>
      </c>
    </row>
    <row r="2291" spans="1:4" x14ac:dyDescent="0.25">
      <c r="A2291" t="str">
        <f>T("   841480")</f>
        <v xml:space="preserve">   841480</v>
      </c>
      <c r="B2291" t="s">
        <v>399</v>
      </c>
      <c r="C2291">
        <v>10691116</v>
      </c>
      <c r="D2291">
        <v>6824</v>
      </c>
    </row>
    <row r="2292" spans="1:4" x14ac:dyDescent="0.25">
      <c r="A2292" t="str">
        <f>T("   841490")</f>
        <v xml:space="preserve">   841490</v>
      </c>
      <c r="B2292"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2292">
        <v>8717230</v>
      </c>
      <c r="D2292">
        <v>19172</v>
      </c>
    </row>
    <row r="2293" spans="1:4" x14ac:dyDescent="0.25">
      <c r="A2293" t="str">
        <f>T("   841510")</f>
        <v xml:space="preserve">   841510</v>
      </c>
      <c r="B2293" t="s">
        <v>400</v>
      </c>
      <c r="C2293">
        <v>199541697</v>
      </c>
      <c r="D2293">
        <v>222092</v>
      </c>
    </row>
    <row r="2294" spans="1:4" x14ac:dyDescent="0.25">
      <c r="A2294" t="str">
        <f>T("   841581")</f>
        <v xml:space="preserve">   841581</v>
      </c>
      <c r="B2294" t="s">
        <v>401</v>
      </c>
      <c r="C2294">
        <v>2894705</v>
      </c>
      <c r="D2294">
        <v>240</v>
      </c>
    </row>
    <row r="2295" spans="1:4" x14ac:dyDescent="0.25">
      <c r="A2295" t="str">
        <f>T("   841582")</f>
        <v xml:space="preserve">   841582</v>
      </c>
      <c r="B2295" t="s">
        <v>402</v>
      </c>
      <c r="C2295">
        <v>15141153</v>
      </c>
      <c r="D2295">
        <v>10296</v>
      </c>
    </row>
    <row r="2296" spans="1:4" x14ac:dyDescent="0.25">
      <c r="A2296" t="str">
        <f>T("   841590")</f>
        <v xml:space="preserve">   841590</v>
      </c>
      <c r="B2296"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2296">
        <v>23215977</v>
      </c>
      <c r="D2296">
        <v>41458</v>
      </c>
    </row>
    <row r="2297" spans="1:4" x14ac:dyDescent="0.25">
      <c r="A2297" t="str">
        <f>T("   841630")</f>
        <v xml:space="preserve">   841630</v>
      </c>
      <c r="B2297" t="str">
        <f>T("   FOYERS AUTOMATIQUES, Y.C. LEURS AVANT-FOYERS, GRILLES MÉCANIQUES, DISPOSITIFS MÉCANIQUES POUR L'ÉVACUATION DES CENDRES ET DISPOSITIFS SIMIL. (SAUF BR¹LEURS)")</f>
        <v xml:space="preserve">   FOYERS AUTOMATIQUES, Y.C. LEURS AVANT-FOYERS, GRILLES MÉCANIQUES, DISPOSITIFS MÉCANIQUES POUR L'ÉVACUATION DES CENDRES ET DISPOSITIFS SIMIL. (SAUF BR¹LEURS)</v>
      </c>
      <c r="C2297">
        <v>2212</v>
      </c>
      <c r="D2297">
        <v>7</v>
      </c>
    </row>
    <row r="2298" spans="1:4" x14ac:dyDescent="0.25">
      <c r="A2298" t="str">
        <f>T("   841810")</f>
        <v xml:space="preserve">   841810</v>
      </c>
      <c r="B2298" t="str">
        <f>T("   Réfrigérateurs et congélateurs-conservateurs combinés, avec portes extérieures séparées")</f>
        <v xml:space="preserve">   Réfrigérateurs et congélateurs-conservateurs combinés, avec portes extérieures séparées</v>
      </c>
      <c r="C2298">
        <v>11448784</v>
      </c>
      <c r="D2298">
        <v>17740</v>
      </c>
    </row>
    <row r="2299" spans="1:4" x14ac:dyDescent="0.25">
      <c r="A2299" t="str">
        <f>T("   841821")</f>
        <v xml:space="preserve">   841821</v>
      </c>
      <c r="B2299" t="str">
        <f>T("   Réfrigérateurs ménagers à compression")</f>
        <v xml:space="preserve">   Réfrigérateurs ménagers à compression</v>
      </c>
      <c r="C2299">
        <v>4345000</v>
      </c>
      <c r="D2299">
        <v>8500</v>
      </c>
    </row>
    <row r="2300" spans="1:4" x14ac:dyDescent="0.25">
      <c r="A2300" t="str">
        <f>T("   841822")</f>
        <v xml:space="preserve">   841822</v>
      </c>
      <c r="B2300" t="str">
        <f>T("   Réfrigérateurs ménagers à absorption, électriques")</f>
        <v xml:space="preserve">   Réfrigérateurs ménagers à absorption, électriques</v>
      </c>
      <c r="C2300">
        <v>4446967</v>
      </c>
      <c r="D2300">
        <v>6640</v>
      </c>
    </row>
    <row r="2301" spans="1:4" x14ac:dyDescent="0.25">
      <c r="A2301" t="str">
        <f>T("   841829")</f>
        <v xml:space="preserve">   841829</v>
      </c>
      <c r="B2301" t="str">
        <f>T("   Réfrigérateurs ménagers à absorption, non-électriques")</f>
        <v xml:space="preserve">   Réfrigérateurs ménagers à absorption, non-électriques</v>
      </c>
      <c r="C2301">
        <v>56276020</v>
      </c>
      <c r="D2301">
        <v>57818</v>
      </c>
    </row>
    <row r="2302" spans="1:4" x14ac:dyDescent="0.25">
      <c r="A2302" t="str">
        <f>T("   841830")</f>
        <v xml:space="preserve">   841830</v>
      </c>
      <c r="B2302" t="str">
        <f>T("   Meubles congélateurs-conservateurs du type coffre, capacité &lt;= 800 l")</f>
        <v xml:space="preserve">   Meubles congélateurs-conservateurs du type coffre, capacité &lt;= 800 l</v>
      </c>
      <c r="C2302">
        <v>49003422</v>
      </c>
      <c r="D2302">
        <v>33740</v>
      </c>
    </row>
    <row r="2303" spans="1:4" x14ac:dyDescent="0.25">
      <c r="A2303" t="str">
        <f>T("   841850")</f>
        <v xml:space="preserve">   841850</v>
      </c>
      <c r="B2303" t="s">
        <v>404</v>
      </c>
      <c r="C2303">
        <v>30374376</v>
      </c>
      <c r="D2303">
        <v>16771</v>
      </c>
    </row>
    <row r="2304" spans="1:4" x14ac:dyDescent="0.25">
      <c r="A2304" t="str">
        <f>T("   841869")</f>
        <v xml:space="preserve">   841869</v>
      </c>
      <c r="B2304"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2304">
        <v>3218704</v>
      </c>
      <c r="D2304">
        <v>2585</v>
      </c>
    </row>
    <row r="2305" spans="1:4" x14ac:dyDescent="0.25">
      <c r="A2305" t="str">
        <f>T("   841899")</f>
        <v xml:space="preserve">   841899</v>
      </c>
      <c r="B2305"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2305">
        <v>102045</v>
      </c>
      <c r="D2305">
        <v>1217</v>
      </c>
    </row>
    <row r="2306" spans="1:4" x14ac:dyDescent="0.25">
      <c r="A2306" t="str">
        <f>T("   841919")</f>
        <v xml:space="preserve">   841919</v>
      </c>
      <c r="B2306" t="str">
        <f>T("   Chauffe-eau non-électriques, à chauffage instantané ou à accumulation (à l'excl. des chauffe-eau instantanés à gaz et des chaudières ou générateurs mixtes pour chauffage central)")</f>
        <v xml:space="preserve">   Chauffe-eau non-électriques, à chauffage instantané ou à accumulation (à l'excl. des chauffe-eau instantanés à gaz et des chaudières ou générateurs mixtes pour chauffage central)</v>
      </c>
      <c r="C2306">
        <v>3408658</v>
      </c>
      <c r="D2306">
        <v>4166</v>
      </c>
    </row>
    <row r="2307" spans="1:4" x14ac:dyDescent="0.25">
      <c r="A2307" t="str">
        <f>T("   841920")</f>
        <v xml:space="preserve">   841920</v>
      </c>
      <c r="B2307" t="str">
        <f>T("   Stérilisateurs médico-chirurgicaux ou de laboratoire")</f>
        <v xml:space="preserve">   Stérilisateurs médico-chirurgicaux ou de laboratoire</v>
      </c>
      <c r="C2307">
        <v>1383418</v>
      </c>
      <c r="D2307">
        <v>4749</v>
      </c>
    </row>
    <row r="2308" spans="1:4" x14ac:dyDescent="0.25">
      <c r="A2308" t="str">
        <f>T("   841989")</f>
        <v xml:space="preserve">   841989</v>
      </c>
      <c r="B2308" t="s">
        <v>405</v>
      </c>
      <c r="C2308">
        <v>5622723</v>
      </c>
      <c r="D2308">
        <v>144</v>
      </c>
    </row>
    <row r="2309" spans="1:4" x14ac:dyDescent="0.25">
      <c r="A2309" t="str">
        <f>T("   841990")</f>
        <v xml:space="preserve">   841990</v>
      </c>
      <c r="B2309" t="str">
        <f>T("   Parties d'appareils et dispositifs, même chauffés électriquement, pour le traitement de matières par des opérations impliquant un changement de température, ainsi que de chauffe-eau non-électriques à chauffage instantané ou à accumulation, n.d.a.")</f>
        <v xml:space="preserve">   Parties d'appareils et dispositifs, même chauffés électriquement, pour le traitement de matières par des opérations impliquant un changement de température, ainsi que de chauffe-eau non-électriques à chauffage instantané ou à accumulation, n.d.a.</v>
      </c>
      <c r="C2309">
        <v>13421800</v>
      </c>
      <c r="D2309">
        <v>23074</v>
      </c>
    </row>
    <row r="2310" spans="1:4" x14ac:dyDescent="0.25">
      <c r="A2310" t="str">
        <f>T("   842121")</f>
        <v xml:space="preserve">   842121</v>
      </c>
      <c r="B2310" t="str">
        <f>T("   Appareils pour la filtration ou l'épuration des eaux")</f>
        <v xml:space="preserve">   Appareils pour la filtration ou l'épuration des eaux</v>
      </c>
      <c r="C2310">
        <v>2692001</v>
      </c>
      <c r="D2310">
        <v>5000</v>
      </c>
    </row>
    <row r="2311" spans="1:4" x14ac:dyDescent="0.25">
      <c r="A2311" t="str">
        <f>T("   842123")</f>
        <v xml:space="preserve">   842123</v>
      </c>
      <c r="B2311"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2311">
        <v>3376658</v>
      </c>
      <c r="D2311">
        <v>8791</v>
      </c>
    </row>
    <row r="2312" spans="1:4" x14ac:dyDescent="0.25">
      <c r="A2312" t="str">
        <f>T("   842129")</f>
        <v xml:space="preserve">   842129</v>
      </c>
      <c r="B2312"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2312">
        <v>250221</v>
      </c>
      <c r="D2312">
        <v>400</v>
      </c>
    </row>
    <row r="2313" spans="1:4" x14ac:dyDescent="0.25">
      <c r="A2313" t="str">
        <f>T("   842131")</f>
        <v xml:space="preserve">   842131</v>
      </c>
      <c r="B2313" t="str">
        <f>T("   Filtres d'entrée d'air pour moteurs à allumage par étincelles ou par compression")</f>
        <v xml:space="preserve">   Filtres d'entrée d'air pour moteurs à allumage par étincelles ou par compression</v>
      </c>
      <c r="C2313">
        <v>386879</v>
      </c>
      <c r="D2313">
        <v>780</v>
      </c>
    </row>
    <row r="2314" spans="1:4" x14ac:dyDescent="0.25">
      <c r="A2314" t="str">
        <f>T("   842139")</f>
        <v xml:space="preserve">   842139</v>
      </c>
      <c r="B2314"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2314">
        <v>850036</v>
      </c>
      <c r="D2314">
        <v>1000</v>
      </c>
    </row>
    <row r="2315" spans="1:4" x14ac:dyDescent="0.25">
      <c r="A2315" t="str">
        <f>T("   842199")</f>
        <v xml:space="preserve">   842199</v>
      </c>
      <c r="B2315" t="str">
        <f>T("   Parties d'appareils pour la filtration ou l'épuration des liquides ou des gaz, n.d.a.")</f>
        <v xml:space="preserve">   Parties d'appareils pour la filtration ou l'épuration des liquides ou des gaz, n.d.a.</v>
      </c>
      <c r="C2315">
        <v>1183036</v>
      </c>
      <c r="D2315">
        <v>5519</v>
      </c>
    </row>
    <row r="2316" spans="1:4" x14ac:dyDescent="0.25">
      <c r="A2316" t="str">
        <f>T("   842211")</f>
        <v xml:space="preserve">   842211</v>
      </c>
      <c r="B2316" t="str">
        <f>T("   Machines à laver la vaisselle, de type ménager")</f>
        <v xml:space="preserve">   Machines à laver la vaisselle, de type ménager</v>
      </c>
      <c r="C2316">
        <v>734169</v>
      </c>
      <c r="D2316">
        <v>3248</v>
      </c>
    </row>
    <row r="2317" spans="1:4" x14ac:dyDescent="0.25">
      <c r="A2317" t="str">
        <f>T("   842220")</f>
        <v xml:space="preserve">   842220</v>
      </c>
      <c r="B2317" t="str">
        <f>T("   Machines et appareils à nettoyer ou à sécher les bouteilles ou autres récipients (à l'excl. des machines à laver la vaisselle)")</f>
        <v xml:space="preserve">   Machines et appareils à nettoyer ou à sécher les bouteilles ou autres récipients (à l'excl. des machines à laver la vaisselle)</v>
      </c>
      <c r="C2317">
        <v>1526250</v>
      </c>
      <c r="D2317">
        <v>2636</v>
      </c>
    </row>
    <row r="2318" spans="1:4" x14ac:dyDescent="0.25">
      <c r="A2318" t="str">
        <f>T("   842230")</f>
        <v xml:space="preserve">   842230</v>
      </c>
      <c r="B2318"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2318">
        <v>167691319</v>
      </c>
      <c r="D2318">
        <v>45917</v>
      </c>
    </row>
    <row r="2319" spans="1:4" x14ac:dyDescent="0.25">
      <c r="A2319" t="str">
        <f>T("   842240")</f>
        <v xml:space="preserve">   842240</v>
      </c>
      <c r="B2319" t="s">
        <v>406</v>
      </c>
      <c r="C2319">
        <v>8327446</v>
      </c>
      <c r="D2319">
        <v>6655</v>
      </c>
    </row>
    <row r="2320" spans="1:4" x14ac:dyDescent="0.25">
      <c r="A2320" t="str">
        <f>T("   842310")</f>
        <v xml:space="preserve">   842310</v>
      </c>
      <c r="B2320" t="str">
        <f>T("   Pèse-personnes, y.c. les pèse-bébés; balances de ménage")</f>
        <v xml:space="preserve">   Pèse-personnes, y.c. les pèse-bébés; balances de ménage</v>
      </c>
      <c r="C2320">
        <v>4200652</v>
      </c>
      <c r="D2320">
        <v>9249</v>
      </c>
    </row>
    <row r="2321" spans="1:4" x14ac:dyDescent="0.25">
      <c r="A2321" t="str">
        <f>T("   842381")</f>
        <v xml:space="preserve">   842381</v>
      </c>
      <c r="B2321" t="s">
        <v>407</v>
      </c>
      <c r="C2321">
        <v>676138</v>
      </c>
      <c r="D2321">
        <v>1019</v>
      </c>
    </row>
    <row r="2322" spans="1:4" x14ac:dyDescent="0.25">
      <c r="A2322" t="str">
        <f>T("   842389")</f>
        <v xml:space="preserve">   842389</v>
      </c>
      <c r="B2322" t="str">
        <f>T("   Appareils et instruments de pesage, portée &gt; 5000 kg")</f>
        <v xml:space="preserve">   Appareils et instruments de pesage, portée &gt; 5000 kg</v>
      </c>
      <c r="C2322">
        <v>2920000</v>
      </c>
      <c r="D2322">
        <v>6040</v>
      </c>
    </row>
    <row r="2323" spans="1:4" x14ac:dyDescent="0.25">
      <c r="A2323" t="str">
        <f>T("   842410")</f>
        <v xml:space="preserve">   842410</v>
      </c>
      <c r="B2323" t="str">
        <f>T("   Extincteurs mécaniques, même chargés (sauf bombes et grenades d'extinction d'incendie)")</f>
        <v xml:space="preserve">   Extincteurs mécaniques, même chargés (sauf bombes et grenades d'extinction d'incendie)</v>
      </c>
      <c r="C2323">
        <v>3998259</v>
      </c>
      <c r="D2323">
        <v>2214</v>
      </c>
    </row>
    <row r="2324" spans="1:4" x14ac:dyDescent="0.25">
      <c r="A2324" t="str">
        <f>T("   842420")</f>
        <v xml:space="preserve">   842420</v>
      </c>
      <c r="B2324" t="s">
        <v>408</v>
      </c>
      <c r="C2324">
        <v>152913</v>
      </c>
      <c r="D2324">
        <v>274</v>
      </c>
    </row>
    <row r="2325" spans="1:4" x14ac:dyDescent="0.25">
      <c r="A2325" t="str">
        <f>T("   842489")</f>
        <v xml:space="preserve">   842489</v>
      </c>
      <c r="B2325"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2325">
        <v>2187753</v>
      </c>
      <c r="D2325">
        <v>1956</v>
      </c>
    </row>
    <row r="2326" spans="1:4" x14ac:dyDescent="0.25">
      <c r="A2326" t="str">
        <f>T("   842511")</f>
        <v xml:space="preserve">   842511</v>
      </c>
      <c r="B2326" t="str">
        <f>T("   Palans à moteur électrique")</f>
        <v xml:space="preserve">   Palans à moteur électrique</v>
      </c>
      <c r="C2326">
        <v>109709</v>
      </c>
      <c r="D2326">
        <v>167.5</v>
      </c>
    </row>
    <row r="2327" spans="1:4" x14ac:dyDescent="0.25">
      <c r="A2327" t="str">
        <f>T("   842691")</f>
        <v xml:space="preserve">   842691</v>
      </c>
      <c r="B2327" t="str">
        <f>T("   Grues conçues pour être montées sur un véhicule routier")</f>
        <v xml:space="preserve">   Grues conçues pour être montées sur un véhicule routier</v>
      </c>
      <c r="C2327">
        <v>852845</v>
      </c>
      <c r="D2327">
        <v>1374</v>
      </c>
    </row>
    <row r="2328" spans="1:4" x14ac:dyDescent="0.25">
      <c r="A2328" t="str">
        <f>T("   842720")</f>
        <v xml:space="preserve">   842720</v>
      </c>
      <c r="B2328" t="str">
        <f>T("   Chariots de manutention autopropulsés, autres qu'à moteur électrique, avec dispositif de levage")</f>
        <v xml:space="preserve">   Chariots de manutention autopropulsés, autres qu'à moteur électrique, avec dispositif de levage</v>
      </c>
      <c r="C2328">
        <v>7589496</v>
      </c>
      <c r="D2328">
        <v>4900</v>
      </c>
    </row>
    <row r="2329" spans="1:4" x14ac:dyDescent="0.25">
      <c r="A2329" t="str">
        <f>T("   842790")</f>
        <v xml:space="preserve">   842790</v>
      </c>
      <c r="B2329" t="str">
        <f>T("   Chariots de manutention munis d'un dispositif de levage mais non autopropulsés")</f>
        <v xml:space="preserve">   Chariots de manutention munis d'un dispositif de levage mais non autopropulsés</v>
      </c>
      <c r="C2329">
        <v>359513</v>
      </c>
      <c r="D2329">
        <v>3000</v>
      </c>
    </row>
    <row r="2330" spans="1:4" x14ac:dyDescent="0.25">
      <c r="A2330" t="str">
        <f>T("   842810")</f>
        <v xml:space="preserve">   842810</v>
      </c>
      <c r="B2330" t="str">
        <f>T("   Ascenseurs et monte-charge")</f>
        <v xml:space="preserve">   Ascenseurs et monte-charge</v>
      </c>
      <c r="C2330">
        <v>9278917</v>
      </c>
      <c r="D2330">
        <v>13032</v>
      </c>
    </row>
    <row r="2331" spans="1:4" x14ac:dyDescent="0.25">
      <c r="A2331" t="str">
        <f>T("   842832")</f>
        <v xml:space="preserve">   842832</v>
      </c>
      <c r="B2331" t="str">
        <f>T("   Appareils élévateurs, transporteurs ou convoyeurs pour marchandises, à action continue, à benne (autres que conçus pour mines au fond ou autres travaux souterrains)")</f>
        <v xml:space="preserve">   Appareils élévateurs, transporteurs ou convoyeurs pour marchandises, à action continue, à benne (autres que conçus pour mines au fond ou autres travaux souterrains)</v>
      </c>
      <c r="C2331">
        <v>79573</v>
      </c>
      <c r="D2331">
        <v>100</v>
      </c>
    </row>
    <row r="2332" spans="1:4" x14ac:dyDescent="0.25">
      <c r="A2332" t="str">
        <f>T("   842839")</f>
        <v xml:space="preserve">   842839</v>
      </c>
      <c r="B2332"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2332">
        <v>9743187</v>
      </c>
      <c r="D2332">
        <v>1727</v>
      </c>
    </row>
    <row r="2333" spans="1:4" x14ac:dyDescent="0.25">
      <c r="A2333" t="str">
        <f>T("   842911")</f>
        <v xml:space="preserve">   842911</v>
      </c>
      <c r="B2333" t="str">
        <f>T("   Bouteurs 'bulldozers' et bouteurs biais 'angledozers', à chenilles")</f>
        <v xml:space="preserve">   Bouteurs 'bulldozers' et bouteurs biais 'angledozers', à chenilles</v>
      </c>
      <c r="C2333">
        <v>124770970</v>
      </c>
      <c r="D2333">
        <v>65550</v>
      </c>
    </row>
    <row r="2334" spans="1:4" x14ac:dyDescent="0.25">
      <c r="A2334" t="str">
        <f>T("   842920")</f>
        <v xml:space="preserve">   842920</v>
      </c>
      <c r="B2334" t="str">
        <f>T("   Niveleuses autopropulsées")</f>
        <v xml:space="preserve">   Niveleuses autopropulsées</v>
      </c>
      <c r="C2334">
        <v>9599464</v>
      </c>
      <c r="D2334">
        <v>10260</v>
      </c>
    </row>
    <row r="2335" spans="1:4" x14ac:dyDescent="0.25">
      <c r="A2335" t="str">
        <f>T("   842951")</f>
        <v xml:space="preserve">   842951</v>
      </c>
      <c r="B2335" t="str">
        <f>T("   Chargeuses et chargeuses-pelleteuses, à chargement frontal, autopropulsées")</f>
        <v xml:space="preserve">   Chargeuses et chargeuses-pelleteuses, à chargement frontal, autopropulsées</v>
      </c>
      <c r="C2335">
        <v>21388597</v>
      </c>
      <c r="D2335">
        <v>15750</v>
      </c>
    </row>
    <row r="2336" spans="1:4" x14ac:dyDescent="0.25">
      <c r="A2336" t="str">
        <f>T("   842959")</f>
        <v xml:space="preserve">   842959</v>
      </c>
      <c r="B2336"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2336">
        <v>619815848</v>
      </c>
      <c r="D2336">
        <v>305600</v>
      </c>
    </row>
    <row r="2337" spans="1:4" x14ac:dyDescent="0.25">
      <c r="A2337" t="str">
        <f>T("   843120")</f>
        <v xml:space="preserve">   843120</v>
      </c>
      <c r="B2337" t="str">
        <f>T("   Parties de chariots-gerbeurs et autres chariots de manutention munis d'un dispositif de levage, n.d.a.")</f>
        <v xml:space="preserve">   Parties de chariots-gerbeurs et autres chariots de manutention munis d'un dispositif de levage, n.d.a.</v>
      </c>
      <c r="C2337">
        <v>50000</v>
      </c>
      <c r="D2337">
        <v>209</v>
      </c>
    </row>
    <row r="2338" spans="1:4" x14ac:dyDescent="0.25">
      <c r="A2338" t="str">
        <f>T("   843143")</f>
        <v xml:space="preserve">   843143</v>
      </c>
      <c r="B2338" t="str">
        <f>T("   Parties de machines de sondage ou de forage du n° 8430.41 ou 8430.49, n.d.a.")</f>
        <v xml:space="preserve">   Parties de machines de sondage ou de forage du n° 8430.41 ou 8430.49, n.d.a.</v>
      </c>
      <c r="C2338">
        <v>251179</v>
      </c>
      <c r="D2338">
        <v>96</v>
      </c>
    </row>
    <row r="2339" spans="1:4" x14ac:dyDescent="0.25">
      <c r="A2339" t="str">
        <f>T("   843149")</f>
        <v xml:space="preserve">   843149</v>
      </c>
      <c r="B2339" t="str">
        <f>T("   Parties de machines et appareils du n° 8426, 8429 ou 8430, n.d.a.")</f>
        <v xml:space="preserve">   Parties de machines et appareils du n° 8426, 8429 ou 8430, n.d.a.</v>
      </c>
      <c r="C2339">
        <v>102743879</v>
      </c>
      <c r="D2339">
        <v>26754</v>
      </c>
    </row>
    <row r="2340" spans="1:4" x14ac:dyDescent="0.25">
      <c r="A2340" t="str">
        <f>T("   843280")</f>
        <v xml:space="preserve">   843280</v>
      </c>
      <c r="B2340" t="s">
        <v>412</v>
      </c>
      <c r="C2340">
        <v>3411485</v>
      </c>
      <c r="D2340">
        <v>1228</v>
      </c>
    </row>
    <row r="2341" spans="1:4" x14ac:dyDescent="0.25">
      <c r="A2341" t="str">
        <f>T("   843319")</f>
        <v xml:space="preserve">   843319</v>
      </c>
      <c r="B2341" t="str">
        <f>T("   Tondeuses à gazon à moteur, dont le dispositif de coupe tourne dans un plan vertical, ou à barre de coupe")</f>
        <v xml:space="preserve">   Tondeuses à gazon à moteur, dont le dispositif de coupe tourne dans un plan vertical, ou à barre de coupe</v>
      </c>
      <c r="C2341">
        <v>778944</v>
      </c>
      <c r="D2341">
        <v>601</v>
      </c>
    </row>
    <row r="2342" spans="1:4" x14ac:dyDescent="0.25">
      <c r="A2342" t="str">
        <f>T("   843352")</f>
        <v xml:space="preserve">   843352</v>
      </c>
      <c r="B2342" t="str">
        <f>T("   Machines et appareils pour le battage des produits agricoles (sauf moissonneuses-batteuses)")</f>
        <v xml:space="preserve">   Machines et appareils pour le battage des produits agricoles (sauf moissonneuses-batteuses)</v>
      </c>
      <c r="C2342">
        <v>2300880</v>
      </c>
      <c r="D2342">
        <v>3800</v>
      </c>
    </row>
    <row r="2343" spans="1:4" x14ac:dyDescent="0.25">
      <c r="A2343" t="str">
        <f>T("   843359")</f>
        <v xml:space="preserve">   843359</v>
      </c>
      <c r="B2343" t="s">
        <v>413</v>
      </c>
      <c r="C2343">
        <v>720463</v>
      </c>
      <c r="D2343">
        <v>534</v>
      </c>
    </row>
    <row r="2344" spans="1:4" x14ac:dyDescent="0.25">
      <c r="A2344" t="str">
        <f>T("   843390")</f>
        <v xml:space="preserve">   843390</v>
      </c>
      <c r="B2344"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2344">
        <v>45537</v>
      </c>
      <c r="D2344">
        <v>51</v>
      </c>
    </row>
    <row r="2345" spans="1:4" x14ac:dyDescent="0.25">
      <c r="A2345" t="str">
        <f>T("   843510")</f>
        <v xml:space="preserve">   843510</v>
      </c>
      <c r="B2345" t="s">
        <v>414</v>
      </c>
      <c r="C2345">
        <v>900633</v>
      </c>
      <c r="D2345">
        <v>500</v>
      </c>
    </row>
    <row r="2346" spans="1:4" x14ac:dyDescent="0.25">
      <c r="A2346" t="str">
        <f>T("   843699")</f>
        <v xml:space="preserve">   843699</v>
      </c>
      <c r="B2346" t="str">
        <f>T("   Parties de machines et appareils pour l'agriculture, la sylviculture, l'horticulture ou l'apiculture, n.d.a.")</f>
        <v xml:space="preserve">   Parties de machines et appareils pour l'agriculture, la sylviculture, l'horticulture ou l'apiculture, n.d.a.</v>
      </c>
      <c r="C2346">
        <v>8275661</v>
      </c>
      <c r="D2346">
        <v>9280</v>
      </c>
    </row>
    <row r="2347" spans="1:4" x14ac:dyDescent="0.25">
      <c r="A2347" t="str">
        <f>T("   843810")</f>
        <v xml:space="preserve">   843810</v>
      </c>
      <c r="B2347" t="s">
        <v>416</v>
      </c>
      <c r="C2347">
        <v>3695620</v>
      </c>
      <c r="D2347">
        <v>1775</v>
      </c>
    </row>
    <row r="2348" spans="1:4" x14ac:dyDescent="0.25">
      <c r="A2348" t="str">
        <f>T("   843850")</f>
        <v xml:space="preserve">   843850</v>
      </c>
      <c r="B2348" t="str">
        <f>T("   Machines et appareils pour le traitement industriel des viandes (sauf appareils de cuisson et autres appareils thermiques ainsi que les installations de refroidissement et de congélation)")</f>
        <v xml:space="preserve">   Machines et appareils pour le traitement industriel des viandes (sauf appareils de cuisson et autres appareils thermiques ainsi que les installations de refroidissement et de congélation)</v>
      </c>
      <c r="C2348">
        <v>766960</v>
      </c>
      <c r="D2348">
        <v>290</v>
      </c>
    </row>
    <row r="2349" spans="1:4" x14ac:dyDescent="0.25">
      <c r="A2349" t="str">
        <f>T("   843860")</f>
        <v xml:space="preserve">   843860</v>
      </c>
      <c r="B2349" t="s">
        <v>417</v>
      </c>
      <c r="C2349">
        <v>383480</v>
      </c>
      <c r="D2349">
        <v>480</v>
      </c>
    </row>
    <row r="2350" spans="1:4" x14ac:dyDescent="0.25">
      <c r="A2350" t="str">
        <f>T("   843880")</f>
        <v xml:space="preserve">   843880</v>
      </c>
      <c r="B2350" t="str">
        <f>T("   Machines et appareils pour la préparation ou la fabrication industrielles d'aliments ou de boissons, n.d.a.")</f>
        <v xml:space="preserve">   Machines et appareils pour la préparation ou la fabrication industrielles d'aliments ou de boissons, n.d.a.</v>
      </c>
      <c r="C2350">
        <v>1367202</v>
      </c>
      <c r="D2350">
        <v>335</v>
      </c>
    </row>
    <row r="2351" spans="1:4" x14ac:dyDescent="0.25">
      <c r="A2351" t="str">
        <f>T("   843890")</f>
        <v xml:space="preserve">   843890</v>
      </c>
      <c r="B2351"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2351">
        <v>114412686</v>
      </c>
      <c r="D2351">
        <v>21441</v>
      </c>
    </row>
    <row r="2352" spans="1:4" x14ac:dyDescent="0.25">
      <c r="A2352" t="str">
        <f>T("   844110")</f>
        <v xml:space="preserve">   844110</v>
      </c>
      <c r="B2352" t="str">
        <f>T("   Coupeuses pour le travail de la pâte à papier, du papier ou du carton (sauf machines et appareils pour le brochage ou la reliure)")</f>
        <v xml:space="preserve">   Coupeuses pour le travail de la pâte à papier, du papier ou du carton (sauf machines et appareils pour le brochage ou la reliure)</v>
      </c>
      <c r="C2352">
        <v>4337926</v>
      </c>
      <c r="D2352">
        <v>5525</v>
      </c>
    </row>
    <row r="2353" spans="1:4" x14ac:dyDescent="0.25">
      <c r="A2353" t="str">
        <f>T("   844190")</f>
        <v xml:space="preserve">   844190</v>
      </c>
      <c r="B2353" t="str">
        <f>T("   Parties de machines et appareils pour le travail de la pâte à papier, du papier ou du carton, n.d.a.")</f>
        <v xml:space="preserve">   Parties de machines et appareils pour le travail de la pâte à papier, du papier ou du carton, n.d.a.</v>
      </c>
      <c r="C2353">
        <v>295182</v>
      </c>
      <c r="D2353">
        <v>75</v>
      </c>
    </row>
    <row r="2354" spans="1:4" x14ac:dyDescent="0.25">
      <c r="A2354" t="str">
        <f>T("   844230")</f>
        <v xml:space="preserve">   844230</v>
      </c>
      <c r="B2354" t="s">
        <v>419</v>
      </c>
      <c r="C2354">
        <v>2998904</v>
      </c>
      <c r="D2354">
        <v>6045</v>
      </c>
    </row>
    <row r="2355" spans="1:4" x14ac:dyDescent="0.25">
      <c r="A2355" t="str">
        <f>T("   844319")</f>
        <v xml:space="preserve">   844319</v>
      </c>
      <c r="B2355" t="s">
        <v>420</v>
      </c>
      <c r="C2355">
        <v>9423961</v>
      </c>
      <c r="D2355">
        <v>5508</v>
      </c>
    </row>
    <row r="2356" spans="1:4" x14ac:dyDescent="0.25">
      <c r="A2356" t="str">
        <f>T("   844359")</f>
        <v xml:space="preserve">   844359</v>
      </c>
      <c r="B2356" t="s">
        <v>421</v>
      </c>
      <c r="C2356">
        <v>949112</v>
      </c>
      <c r="D2356">
        <v>3597</v>
      </c>
    </row>
    <row r="2357" spans="1:4" x14ac:dyDescent="0.25">
      <c r="A2357" t="str">
        <f>T("   844390")</f>
        <v xml:space="preserve">   844390</v>
      </c>
      <c r="B2357" t="str">
        <f>T("   Parties de machines et appareils à imprimer et de leur machines et appareils auxiliaires, n.d.a.")</f>
        <v xml:space="preserve">   Parties de machines et appareils à imprimer et de leur machines et appareils auxiliaires, n.d.a.</v>
      </c>
      <c r="C2357">
        <v>15021400</v>
      </c>
      <c r="D2357">
        <v>9712</v>
      </c>
    </row>
    <row r="2358" spans="1:4" x14ac:dyDescent="0.25">
      <c r="A2358" t="str">
        <f>T("   844540")</f>
        <v xml:space="preserve">   844540</v>
      </c>
      <c r="B2358" t="str">
        <f>T("   Machines à bobiner, y.c. les -canetières- ou à dévider les matières textiles")</f>
        <v xml:space="preserve">   Machines à bobiner, y.c. les -canetières- ou à dévider les matières textiles</v>
      </c>
      <c r="C2358">
        <v>13044259</v>
      </c>
      <c r="D2358">
        <v>11138</v>
      </c>
    </row>
    <row r="2359" spans="1:4" x14ac:dyDescent="0.25">
      <c r="A2359" t="str">
        <f>T("   844790")</f>
        <v xml:space="preserve">   844790</v>
      </c>
      <c r="B2359" t="str">
        <f>T("   Machines et métiers à guipure, à tulle, à dentelle, à broderie, à passementerie, à tresses, à filet ou à touffeter (sauf couso-brodeurs)")</f>
        <v xml:space="preserve">   Machines et métiers à guipure, à tulle, à dentelle, à broderie, à passementerie, à tresses, à filet ou à touffeter (sauf couso-brodeurs)</v>
      </c>
      <c r="C2359">
        <v>444358</v>
      </c>
      <c r="D2359">
        <v>328</v>
      </c>
    </row>
    <row r="2360" spans="1:4" x14ac:dyDescent="0.25">
      <c r="A2360" t="str">
        <f>T("   844820")</f>
        <v xml:space="preserve">   844820</v>
      </c>
      <c r="B2360" t="str">
        <f>T("   Parties et accessoires des machines pour le filage -extrusion-, l'étirage, la texturation ou le tranchage des matières textiles synthétiques ou artificielles ou de leurs machines et appareils auxiliaires, n.d.a.")</f>
        <v xml:space="preserve">   Parties et accessoires des machines pour le filage -extrusion-, l'étirage, la texturation ou le tranchage des matières textiles synthétiques ou artificielles ou de leurs machines et appareils auxiliaires, n.d.a.</v>
      </c>
      <c r="C2360">
        <v>19204889</v>
      </c>
      <c r="D2360">
        <v>11810</v>
      </c>
    </row>
    <row r="2361" spans="1:4" x14ac:dyDescent="0.25">
      <c r="A2361" t="str">
        <f>T("   844839")</f>
        <v xml:space="preserve">   844839</v>
      </c>
      <c r="B2361" t="str">
        <f>T("   Parties et accessoires des machines du n° 8445, n.d.a.")</f>
        <v xml:space="preserve">   Parties et accessoires des machines du n° 8445, n.d.a.</v>
      </c>
      <c r="C2361">
        <v>16190118</v>
      </c>
      <c r="D2361">
        <v>315</v>
      </c>
    </row>
    <row r="2362" spans="1:4" x14ac:dyDescent="0.25">
      <c r="A2362" t="str">
        <f>T("   844841")</f>
        <v xml:space="preserve">   844841</v>
      </c>
      <c r="B2362" t="str">
        <f>T("   Navettes pour métiers à tisser")</f>
        <v xml:space="preserve">   Navettes pour métiers à tisser</v>
      </c>
      <c r="C2362">
        <v>5802211</v>
      </c>
      <c r="D2362">
        <v>1600</v>
      </c>
    </row>
    <row r="2363" spans="1:4" x14ac:dyDescent="0.25">
      <c r="A2363" t="str">
        <f>T("   844859")</f>
        <v xml:space="preserve">   844859</v>
      </c>
      <c r="B2363" t="str">
        <f>T("   Parties et accessoires des métiers, machines et appareils du n° 8447, n.d.a.")</f>
        <v xml:space="preserve">   Parties et accessoires des métiers, machines et appareils du n° 8447, n.d.a.</v>
      </c>
      <c r="C2363">
        <v>2825188</v>
      </c>
      <c r="D2363">
        <v>2470</v>
      </c>
    </row>
    <row r="2364" spans="1:4" x14ac:dyDescent="0.25">
      <c r="A2364" t="str">
        <f>T("   845011")</f>
        <v xml:space="preserve">   845011</v>
      </c>
      <c r="B2364" t="str">
        <f>T("   Machines à laver le linge entièrement automatiques, d'une capacité unitaire exprimée en poids de linge sec &lt;= 6 kg")</f>
        <v xml:space="preserve">   Machines à laver le linge entièrement automatiques, d'une capacité unitaire exprimée en poids de linge sec &lt;= 6 kg</v>
      </c>
      <c r="C2364">
        <v>4021747</v>
      </c>
      <c r="D2364">
        <v>3434</v>
      </c>
    </row>
    <row r="2365" spans="1:4" x14ac:dyDescent="0.25">
      <c r="A2365" t="str">
        <f>T("   845019")</f>
        <v xml:space="preserve">   845019</v>
      </c>
      <c r="B2365"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2365">
        <v>3721196</v>
      </c>
      <c r="D2365">
        <v>3059</v>
      </c>
    </row>
    <row r="2366" spans="1:4" x14ac:dyDescent="0.25">
      <c r="A2366" t="str">
        <f>T("   845140")</f>
        <v xml:space="preserve">   845140</v>
      </c>
      <c r="B2366" t="str">
        <f>T("   Machines et appareils pour le lavage, le blanchiment ou la teinture de fils, tissus ou autres ouvrages en matières textiles (sauf machines à laver le linge)")</f>
        <v xml:space="preserve">   Machines et appareils pour le lavage, le blanchiment ou la teinture de fils, tissus ou autres ouvrages en matières textiles (sauf machines à laver le linge)</v>
      </c>
      <c r="C2366">
        <v>1500000</v>
      </c>
      <c r="D2366">
        <v>950</v>
      </c>
    </row>
    <row r="2367" spans="1:4" x14ac:dyDescent="0.25">
      <c r="A2367" t="str">
        <f>T("   845180")</f>
        <v xml:space="preserve">   845180</v>
      </c>
      <c r="B2367" t="s">
        <v>423</v>
      </c>
      <c r="C2367">
        <v>110213</v>
      </c>
      <c r="D2367">
        <v>543</v>
      </c>
    </row>
    <row r="2368" spans="1:4" x14ac:dyDescent="0.25">
      <c r="A2368" t="str">
        <f>T("   845190")</f>
        <v xml:space="preserve">   845190</v>
      </c>
      <c r="B2368" t="s">
        <v>424</v>
      </c>
      <c r="C2368">
        <v>500497</v>
      </c>
      <c r="D2368">
        <v>1500</v>
      </c>
    </row>
    <row r="2369" spans="1:4" x14ac:dyDescent="0.25">
      <c r="A2369" t="str">
        <f>T("   845210")</f>
        <v xml:space="preserve">   845210</v>
      </c>
      <c r="B2369" t="str">
        <f>T("   Machines à coudre de type ménager")</f>
        <v xml:space="preserve">   Machines à coudre de type ménager</v>
      </c>
      <c r="C2369">
        <v>209245219</v>
      </c>
      <c r="D2369">
        <v>377001</v>
      </c>
    </row>
    <row r="2370" spans="1:4" x14ac:dyDescent="0.25">
      <c r="A2370" t="str">
        <f>T("   845221")</f>
        <v xml:space="preserve">   845221</v>
      </c>
      <c r="B2370" t="str">
        <f>T("   Unités automatiques de machines à coudre, de type industriel")</f>
        <v xml:space="preserve">   Unités automatiques de machines à coudre, de type industriel</v>
      </c>
      <c r="C2370">
        <v>8547769</v>
      </c>
      <c r="D2370">
        <v>12546</v>
      </c>
    </row>
    <row r="2371" spans="1:4" x14ac:dyDescent="0.25">
      <c r="A2371" t="str">
        <f>T("   845229")</f>
        <v xml:space="preserve">   845229</v>
      </c>
      <c r="B2371" t="str">
        <f>T("   Machines à coudre de type industriel (sauf unités automatiques)")</f>
        <v xml:space="preserve">   Machines à coudre de type industriel (sauf unités automatiques)</v>
      </c>
      <c r="C2371">
        <v>125111</v>
      </c>
      <c r="D2371">
        <v>70</v>
      </c>
    </row>
    <row r="2372" spans="1:4" x14ac:dyDescent="0.25">
      <c r="A2372" t="str">
        <f>T("   845230")</f>
        <v xml:space="preserve">   845230</v>
      </c>
      <c r="B2372" t="str">
        <f>T("   Aiguilles pour machines à coudre")</f>
        <v xml:space="preserve">   Aiguilles pour machines à coudre</v>
      </c>
      <c r="C2372">
        <v>1349371</v>
      </c>
      <c r="D2372">
        <v>6749</v>
      </c>
    </row>
    <row r="2373" spans="1:4" x14ac:dyDescent="0.25">
      <c r="A2373" t="str">
        <f>T("   845290")</f>
        <v xml:space="preserve">   845290</v>
      </c>
      <c r="B2373" t="str">
        <f>T("   Parties de machines à coudre, n.d.a.")</f>
        <v xml:space="preserve">   Parties de machines à coudre, n.d.a.</v>
      </c>
      <c r="C2373">
        <v>110030</v>
      </c>
      <c r="D2373">
        <v>90</v>
      </c>
    </row>
    <row r="2374" spans="1:4" x14ac:dyDescent="0.25">
      <c r="A2374" t="str">
        <f>T("   845699")</f>
        <v xml:space="preserve">   845699</v>
      </c>
      <c r="B2374" t="s">
        <v>425</v>
      </c>
      <c r="C2374">
        <v>499962</v>
      </c>
      <c r="D2374">
        <v>5</v>
      </c>
    </row>
    <row r="2375" spans="1:4" x14ac:dyDescent="0.25">
      <c r="A2375" t="str">
        <f>T("   845819")</f>
        <v xml:space="preserve">   845819</v>
      </c>
      <c r="B2375" t="str">
        <f>T("   Tours horizontaux, y.c. les centres de tournage, travaillant par enlèvement de métal (autres qu'à commande numérique)")</f>
        <v xml:space="preserve">   Tours horizontaux, y.c. les centres de tournage, travaillant par enlèvement de métal (autres qu'à commande numérique)</v>
      </c>
      <c r="C2375">
        <v>2983306</v>
      </c>
      <c r="D2375">
        <v>10600</v>
      </c>
    </row>
    <row r="2376" spans="1:4" x14ac:dyDescent="0.25">
      <c r="A2376" t="str">
        <f>T("   846090")</f>
        <v xml:space="preserve">   846090</v>
      </c>
      <c r="B2376" t="s">
        <v>428</v>
      </c>
      <c r="C2376">
        <v>346417</v>
      </c>
      <c r="D2376">
        <v>656</v>
      </c>
    </row>
    <row r="2377" spans="1:4" x14ac:dyDescent="0.25">
      <c r="A2377" t="str">
        <f>T("   846221")</f>
        <v xml:space="preserve">   846221</v>
      </c>
      <c r="B2377" t="str">
        <f>T("   Machines, y.c. -les presses-, à rouler, cintrer, plier, dresser ou planer, à commande numérique, pour le travail des métaux")</f>
        <v xml:space="preserve">   Machines, y.c. -les presses-, à rouler, cintrer, plier, dresser ou planer, à commande numérique, pour le travail des métaux</v>
      </c>
      <c r="C2377">
        <v>1330364</v>
      </c>
      <c r="D2377">
        <v>1230</v>
      </c>
    </row>
    <row r="2378" spans="1:4" x14ac:dyDescent="0.25">
      <c r="A2378" t="str">
        <f>T("   846229")</f>
        <v xml:space="preserve">   846229</v>
      </c>
      <c r="B2378" t="str">
        <f>T("   Machines, y.c. -les presses-, à rouler, cintrer, plier, dresser ou planer, pour le travail des métaux (autres qu'à commande numérique)")</f>
        <v xml:space="preserve">   Machines, y.c. -les presses-, à rouler, cintrer, plier, dresser ou planer, pour le travail des métaux (autres qu'à commande numérique)</v>
      </c>
      <c r="C2378">
        <v>1178242</v>
      </c>
      <c r="D2378">
        <v>50</v>
      </c>
    </row>
    <row r="2379" spans="1:4" x14ac:dyDescent="0.25">
      <c r="A2379" t="str">
        <f>T("   846239")</f>
        <v xml:space="preserve">   846239</v>
      </c>
      <c r="B2379" t="str">
        <f>T("   Machines, y.c. -les presses-, à cisailler, pour le travail des métaux (autres que les machines combinées à poinçonner et à cisailler et autres qu'à commande numérique)")</f>
        <v xml:space="preserve">   Machines, y.c. -les presses-, à cisailler, pour le travail des métaux (autres que les machines combinées à poinçonner et à cisailler et autres qu'à commande numérique)</v>
      </c>
      <c r="C2379">
        <v>1311920</v>
      </c>
      <c r="D2379">
        <v>6000</v>
      </c>
    </row>
    <row r="2380" spans="1:4" x14ac:dyDescent="0.25">
      <c r="A2380" t="str">
        <f>T("   846249")</f>
        <v xml:space="preserve">   846249</v>
      </c>
      <c r="B2380" t="str">
        <f>T("   MACHINES, Y.C. -LES PRESSES-, À POINÇONNER OU À GRUGER, Y.C. LES MACHINES COMBINÉES À POINÇONNER ET À CISAILLER, POUR LE TRAVAIL DES MÉTAUX (AUTRES QU'À COMMANDE NUMÉRIQUE)")</f>
        <v xml:space="preserve">   MACHINES, Y.C. -LES PRESSES-, À POINÇONNER OU À GRUGER, Y.C. LES MACHINES COMBINÉES À POINÇONNER ET À CISAILLER, POUR LE TRAVAIL DES MÉTAUX (AUTRES QU'À COMMANDE NUMÉRIQUE)</v>
      </c>
      <c r="C2380">
        <v>40245114</v>
      </c>
      <c r="D2380">
        <v>26594</v>
      </c>
    </row>
    <row r="2381" spans="1:4" x14ac:dyDescent="0.25">
      <c r="A2381" t="str">
        <f>T("   846410")</f>
        <v xml:space="preserve">   846410</v>
      </c>
      <c r="B2381" t="str">
        <f>T("   Machines à scier pour le travail de la pierre, des produits céramiques, du béton, de l'amiante-ciment ou de matières minérales simil., ou pour le travail à froid du verre (à l'excl. des machines pour emploi à la main)")</f>
        <v xml:space="preserve">   Machines à scier pour le travail de la pierre, des produits céramiques, du béton, de l'amiante-ciment ou de matières minérales simil., ou pour le travail à froid du verre (à l'excl. des machines pour emploi à la main)</v>
      </c>
      <c r="C2381">
        <v>14886214</v>
      </c>
      <c r="D2381">
        <v>20600</v>
      </c>
    </row>
    <row r="2382" spans="1:4" x14ac:dyDescent="0.25">
      <c r="A2382" t="str">
        <f>T("   846490")</f>
        <v xml:space="preserve">   846490</v>
      </c>
      <c r="B2382" t="s">
        <v>430</v>
      </c>
      <c r="C2382">
        <v>6107729</v>
      </c>
      <c r="D2382">
        <v>2997</v>
      </c>
    </row>
    <row r="2383" spans="1:4" x14ac:dyDescent="0.25">
      <c r="A2383" t="str">
        <f>T("   846599")</f>
        <v xml:space="preserve">   846599</v>
      </c>
      <c r="B2383" t="s">
        <v>431</v>
      </c>
      <c r="C2383">
        <v>99280879</v>
      </c>
      <c r="D2383">
        <v>91456</v>
      </c>
    </row>
    <row r="2384" spans="1:4" x14ac:dyDescent="0.25">
      <c r="A2384" t="str">
        <f>T("   846692")</f>
        <v xml:space="preserve">   846692</v>
      </c>
      <c r="B2384" t="str">
        <f>T("   Parties et accessoires pour machines-outils pour le travail du bois, des matières plastiques dures, etc., n.d.a.")</f>
        <v xml:space="preserve">   Parties et accessoires pour machines-outils pour le travail du bois, des matières plastiques dures, etc., n.d.a.</v>
      </c>
      <c r="C2384">
        <v>35476214</v>
      </c>
      <c r="D2384">
        <v>69248</v>
      </c>
    </row>
    <row r="2385" spans="1:4" x14ac:dyDescent="0.25">
      <c r="A2385" t="str">
        <f>T("   846711")</f>
        <v xml:space="preserve">   846711</v>
      </c>
      <c r="B2385" t="str">
        <f>T("   Outils pneumatiques pour emploi à la main, rotatifs, -même à percussion-")</f>
        <v xml:space="preserve">   Outils pneumatiques pour emploi à la main, rotatifs, -même à percussion-</v>
      </c>
      <c r="C2385">
        <v>593081</v>
      </c>
      <c r="D2385">
        <v>428.5</v>
      </c>
    </row>
    <row r="2386" spans="1:4" x14ac:dyDescent="0.25">
      <c r="A2386" t="str">
        <f>T("   846721")</f>
        <v xml:space="preserve">   846721</v>
      </c>
      <c r="B2386" t="str">
        <f>T("   Perceuses à moteur électrique incorporé, pour emploi à la main, y.c. les perforatrices rotatives")</f>
        <v xml:space="preserve">   Perceuses à moteur électrique incorporé, pour emploi à la main, y.c. les perforatrices rotatives</v>
      </c>
      <c r="C2386">
        <v>309908</v>
      </c>
      <c r="D2386">
        <v>6326</v>
      </c>
    </row>
    <row r="2387" spans="1:4" x14ac:dyDescent="0.25">
      <c r="A2387" t="str">
        <f>T("   846789")</f>
        <v xml:space="preserve">   846789</v>
      </c>
      <c r="B2387"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2387">
        <v>1876493</v>
      </c>
      <c r="D2387">
        <v>2495</v>
      </c>
    </row>
    <row r="2388" spans="1:4" x14ac:dyDescent="0.25">
      <c r="A2388" t="str">
        <f>T("   846799")</f>
        <v xml:space="preserve">   846799</v>
      </c>
      <c r="B2388" t="str">
        <f>T("   Parties d'outils pour emploi à la main, hydrauliques ou à moteur électrique ou non électrique incorporé, n.d.a.")</f>
        <v xml:space="preserve">   Parties d'outils pour emploi à la main, hydrauliques ou à moteur électrique ou non électrique incorporé, n.d.a.</v>
      </c>
      <c r="C2388">
        <v>19712200</v>
      </c>
      <c r="D2388">
        <v>7689</v>
      </c>
    </row>
    <row r="2389" spans="1:4" x14ac:dyDescent="0.25">
      <c r="A2389" t="str">
        <f>T("   847010")</f>
        <v xml:space="preserve">   847010</v>
      </c>
      <c r="B2389" t="s">
        <v>433</v>
      </c>
      <c r="C2389">
        <v>4912118</v>
      </c>
      <c r="D2389">
        <v>3897</v>
      </c>
    </row>
    <row r="2390" spans="1:4" x14ac:dyDescent="0.25">
      <c r="A2390" t="str">
        <f>T("   847050")</f>
        <v xml:space="preserve">   847050</v>
      </c>
      <c r="B2390" t="str">
        <f>T("   Caisses enregistreuses comportant un dispositif de calcul")</f>
        <v xml:space="preserve">   Caisses enregistreuses comportant un dispositif de calcul</v>
      </c>
      <c r="C2390">
        <v>694854</v>
      </c>
      <c r="D2390">
        <v>717</v>
      </c>
    </row>
    <row r="2391" spans="1:4" x14ac:dyDescent="0.25">
      <c r="A2391" t="str">
        <f>T("   847110")</f>
        <v xml:space="preserve">   847110</v>
      </c>
      <c r="B2391" t="str">
        <f>T("   Machines automatiques de traitement de l'information, analogiques ou hybrides")</f>
        <v xml:space="preserve">   Machines automatiques de traitement de l'information, analogiques ou hybrides</v>
      </c>
      <c r="C2391">
        <v>500497</v>
      </c>
      <c r="D2391">
        <v>985</v>
      </c>
    </row>
    <row r="2392" spans="1:4" x14ac:dyDescent="0.25">
      <c r="A2392" t="str">
        <f>T("   847130")</f>
        <v xml:space="preserve">   847130</v>
      </c>
      <c r="B2392"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2392">
        <v>176401</v>
      </c>
      <c r="D2392">
        <v>340</v>
      </c>
    </row>
    <row r="2393" spans="1:4" x14ac:dyDescent="0.25">
      <c r="A2393" t="str">
        <f>T("   847141")</f>
        <v xml:space="preserve">   847141</v>
      </c>
      <c r="B2393" t="s">
        <v>434</v>
      </c>
      <c r="C2393">
        <v>1708924</v>
      </c>
      <c r="D2393">
        <v>1102</v>
      </c>
    </row>
    <row r="2394" spans="1:4" x14ac:dyDescent="0.25">
      <c r="A2394" t="str">
        <f>T("   847149")</f>
        <v xml:space="preserve">   847149</v>
      </c>
      <c r="B2394" t="s">
        <v>435</v>
      </c>
      <c r="C2394">
        <v>17533185</v>
      </c>
      <c r="D2394">
        <v>274</v>
      </c>
    </row>
    <row r="2395" spans="1:4" x14ac:dyDescent="0.25">
      <c r="A2395" t="str">
        <f>T("   847150")</f>
        <v xml:space="preserve">   847150</v>
      </c>
      <c r="B2395" t="s">
        <v>436</v>
      </c>
      <c r="C2395">
        <v>426258</v>
      </c>
      <c r="D2395">
        <v>300</v>
      </c>
    </row>
    <row r="2396" spans="1:4" x14ac:dyDescent="0.25">
      <c r="A2396" t="str">
        <f>T("   847160")</f>
        <v xml:space="preserve">   847160</v>
      </c>
      <c r="B2396"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2396">
        <v>12399662</v>
      </c>
      <c r="D2396">
        <v>15828</v>
      </c>
    </row>
    <row r="2397" spans="1:4" x14ac:dyDescent="0.25">
      <c r="A2397" t="str">
        <f>T("   847180")</f>
        <v xml:space="preserve">   847180</v>
      </c>
      <c r="B2397"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2397">
        <v>53674472</v>
      </c>
      <c r="D2397">
        <v>10530</v>
      </c>
    </row>
    <row r="2398" spans="1:4" x14ac:dyDescent="0.25">
      <c r="A2398" t="str">
        <f>T("   847190")</f>
        <v xml:space="preserve">   847190</v>
      </c>
      <c r="B2398"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2398">
        <v>28052065</v>
      </c>
      <c r="D2398">
        <v>36147</v>
      </c>
    </row>
    <row r="2399" spans="1:4" x14ac:dyDescent="0.25">
      <c r="A2399" t="str">
        <f>T("   847290")</f>
        <v xml:space="preserve">   847290</v>
      </c>
      <c r="B2399" t="str">
        <f>T("   Machines et appareils de bureau, n.d.a.")</f>
        <v xml:space="preserve">   Machines et appareils de bureau, n.d.a.</v>
      </c>
      <c r="C2399">
        <v>18459867</v>
      </c>
      <c r="D2399">
        <v>24961</v>
      </c>
    </row>
    <row r="2400" spans="1:4" x14ac:dyDescent="0.25">
      <c r="A2400" t="str">
        <f>T("   847310")</f>
        <v xml:space="preserve">   847310</v>
      </c>
      <c r="B2400" t="str">
        <f>T("   Parties et accessoires des machines à écrire ou machines pour le traitement de textes du n° 8469, n.d.a.")</f>
        <v xml:space="preserve">   Parties et accessoires des machines à écrire ou machines pour le traitement de textes du n° 8469, n.d.a.</v>
      </c>
      <c r="C2400">
        <v>1000000</v>
      </c>
      <c r="D2400">
        <v>11500</v>
      </c>
    </row>
    <row r="2401" spans="1:4" x14ac:dyDescent="0.25">
      <c r="A2401" t="str">
        <f>T("   847330")</f>
        <v xml:space="preserve">   847330</v>
      </c>
      <c r="B2401" t="str">
        <f>T("   Parties et accessoires pour machines automatiques de traitement de l'information ou pour autres machines du n° 8471, n.d.a.")</f>
        <v xml:space="preserve">   Parties et accessoires pour machines automatiques de traitement de l'information ou pour autres machines du n° 8471, n.d.a.</v>
      </c>
      <c r="C2401">
        <v>48949312</v>
      </c>
      <c r="D2401">
        <v>30094</v>
      </c>
    </row>
    <row r="2402" spans="1:4" x14ac:dyDescent="0.25">
      <c r="A2402" t="str">
        <f>T("   847420")</f>
        <v xml:space="preserve">   847420</v>
      </c>
      <c r="B2402" t="str">
        <f>T("   Machines et appareils à concasser, broyer ou pulvériser les matières minérales solides")</f>
        <v xml:space="preserve">   Machines et appareils à concasser, broyer ou pulvériser les matières minérales solides</v>
      </c>
      <c r="C2402">
        <v>62416307</v>
      </c>
      <c r="D2402">
        <v>156627</v>
      </c>
    </row>
    <row r="2403" spans="1:4" x14ac:dyDescent="0.25">
      <c r="A2403" t="str">
        <f>T("   847431")</f>
        <v xml:space="preserve">   847431</v>
      </c>
      <c r="B2403"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2403">
        <v>25165597</v>
      </c>
      <c r="D2403">
        <v>18238</v>
      </c>
    </row>
    <row r="2404" spans="1:4" x14ac:dyDescent="0.25">
      <c r="A2404" t="str">
        <f>T("   847439")</f>
        <v xml:space="preserve">   847439</v>
      </c>
      <c r="B2404"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2404">
        <v>102938350</v>
      </c>
      <c r="D2404">
        <v>227417</v>
      </c>
    </row>
    <row r="2405" spans="1:4" x14ac:dyDescent="0.25">
      <c r="A2405" t="str">
        <f>T("   847480")</f>
        <v xml:space="preserve">   847480</v>
      </c>
      <c r="B2405" t="s">
        <v>437</v>
      </c>
      <c r="C2405">
        <v>20192067</v>
      </c>
      <c r="D2405">
        <v>33998</v>
      </c>
    </row>
    <row r="2406" spans="1:4" x14ac:dyDescent="0.25">
      <c r="A2406" t="str">
        <f>T("   847490")</f>
        <v xml:space="preserve">   847490</v>
      </c>
      <c r="B2406" t="str">
        <f>T("   Parties des machines et appareils pour le travail des matières minérales du n° 8474, n.d.a.")</f>
        <v xml:space="preserve">   Parties des machines et appareils pour le travail des matières minérales du n° 8474, n.d.a.</v>
      </c>
      <c r="C2406">
        <v>107911127</v>
      </c>
      <c r="D2406">
        <v>228137</v>
      </c>
    </row>
    <row r="2407" spans="1:4" x14ac:dyDescent="0.25">
      <c r="A2407" t="str">
        <f>T("   847710")</f>
        <v xml:space="preserve">   847710</v>
      </c>
      <c r="B2407" t="str">
        <f>T("   Machines à mouler par injection pour le travail du caoutchouc ou des matières plastiques ou pour la fabrication de produits en ces matières")</f>
        <v xml:space="preserve">   Machines à mouler par injection pour le travail du caoutchouc ou des matières plastiques ou pour la fabrication de produits en ces matières</v>
      </c>
      <c r="C2407">
        <v>14267373</v>
      </c>
      <c r="D2407">
        <v>37800</v>
      </c>
    </row>
    <row r="2408" spans="1:4" x14ac:dyDescent="0.25">
      <c r="A2408" t="str">
        <f>T("   847720")</f>
        <v xml:space="preserve">   847720</v>
      </c>
      <c r="B2408" t="str">
        <f>T("   Extrudeuses pour le travail du caoutchouc ou des matières plastiques ou pour la fabrication de produits en ces matières")</f>
        <v xml:space="preserve">   Extrudeuses pour le travail du caoutchouc ou des matières plastiques ou pour la fabrication de produits en ces matières</v>
      </c>
      <c r="C2408">
        <v>12926152</v>
      </c>
      <c r="D2408">
        <v>3200</v>
      </c>
    </row>
    <row r="2409" spans="1:4" x14ac:dyDescent="0.25">
      <c r="A2409" t="str">
        <f>T("   847730")</f>
        <v xml:space="preserve">   847730</v>
      </c>
      <c r="B2409" t="str">
        <f>T("   Machines à mouler par soufflage pour le travail du caoutchouc ou des matières plastiques ou pour la fabrication de produits en ces matières")</f>
        <v xml:space="preserve">   Machines à mouler par soufflage pour le travail du caoutchouc ou des matières plastiques ou pour la fabrication de produits en ces matières</v>
      </c>
      <c r="C2409">
        <v>4968463</v>
      </c>
      <c r="D2409">
        <v>6520</v>
      </c>
    </row>
    <row r="2410" spans="1:4" x14ac:dyDescent="0.25">
      <c r="A2410" t="str">
        <f>T("   847751")</f>
        <v xml:space="preserve">   847751</v>
      </c>
      <c r="B2410" t="str">
        <f>T("   Machines et appareils à mouler ou à rechaper les pneumatiques ou à mouler ou à former les chambres à air en caoutchouc ou en matières plastiques")</f>
        <v xml:space="preserve">   Machines et appareils à mouler ou à rechaper les pneumatiques ou à mouler ou à former les chambres à air en caoutchouc ou en matières plastiques</v>
      </c>
      <c r="C2410">
        <v>600146</v>
      </c>
      <c r="D2410">
        <v>2500</v>
      </c>
    </row>
    <row r="2411" spans="1:4" x14ac:dyDescent="0.25">
      <c r="A2411" t="str">
        <f>T("   847780")</f>
        <v xml:space="preserve">   847780</v>
      </c>
      <c r="B2411"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2411">
        <v>2153720</v>
      </c>
      <c r="D2411">
        <v>1900</v>
      </c>
    </row>
    <row r="2412" spans="1:4" x14ac:dyDescent="0.25">
      <c r="A2412" t="str">
        <f>T("   847910")</f>
        <v xml:space="preserve">   847910</v>
      </c>
      <c r="B2412" t="str">
        <f>T("   Machines et appareils pour les travaux publics, le bâtiment ou les travaux analogues, n.d.a.")</f>
        <v xml:space="preserve">   Machines et appareils pour les travaux publics, le bâtiment ou les travaux analogues, n.d.a.</v>
      </c>
      <c r="C2412">
        <v>71095275</v>
      </c>
      <c r="D2412">
        <v>38300</v>
      </c>
    </row>
    <row r="2413" spans="1:4" x14ac:dyDescent="0.25">
      <c r="A2413" t="str">
        <f>T("   847920")</f>
        <v xml:space="preserve">   847920</v>
      </c>
      <c r="B2413" t="s">
        <v>439</v>
      </c>
      <c r="C2413">
        <v>632613</v>
      </c>
      <c r="D2413">
        <v>410</v>
      </c>
    </row>
    <row r="2414" spans="1:4" x14ac:dyDescent="0.25">
      <c r="A2414" t="str">
        <f>T("   847982")</f>
        <v xml:space="preserve">   847982</v>
      </c>
      <c r="B2414"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2414">
        <v>289292997</v>
      </c>
      <c r="D2414">
        <v>206700</v>
      </c>
    </row>
    <row r="2415" spans="1:4" x14ac:dyDescent="0.25">
      <c r="A2415" t="str">
        <f>T("   847989")</f>
        <v xml:space="preserve">   847989</v>
      </c>
      <c r="B2415" t="str">
        <f>T("   Machines et appareils, y.c. les appareils mécaniques, n.d.a.")</f>
        <v xml:space="preserve">   Machines et appareils, y.c. les appareils mécaniques, n.d.a.</v>
      </c>
      <c r="C2415">
        <v>50949709</v>
      </c>
      <c r="D2415">
        <v>24880</v>
      </c>
    </row>
    <row r="2416" spans="1:4" x14ac:dyDescent="0.25">
      <c r="A2416" t="str">
        <f>T("   847990")</f>
        <v xml:space="preserve">   847990</v>
      </c>
      <c r="B2416" t="str">
        <f>T("   Parties de machines et appareils, y.c. les appareils mécaniques, n.d.a.")</f>
        <v xml:space="preserve">   Parties de machines et appareils, y.c. les appareils mécaniques, n.d.a.</v>
      </c>
      <c r="C2416">
        <v>184840965</v>
      </c>
      <c r="D2416">
        <v>51265</v>
      </c>
    </row>
    <row r="2417" spans="1:4" x14ac:dyDescent="0.25">
      <c r="A2417" t="str">
        <f>T("   848079")</f>
        <v xml:space="preserve">   848079</v>
      </c>
      <c r="B2417" t="s">
        <v>441</v>
      </c>
      <c r="C2417">
        <v>13939019</v>
      </c>
      <c r="D2417">
        <v>7150</v>
      </c>
    </row>
    <row r="2418" spans="1:4" x14ac:dyDescent="0.25">
      <c r="A2418" t="str">
        <f>T("   848180")</f>
        <v xml:space="preserve">   848180</v>
      </c>
      <c r="B2418"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2418">
        <v>65250212</v>
      </c>
      <c r="D2418">
        <v>135933.70000000001</v>
      </c>
    </row>
    <row r="2419" spans="1:4" x14ac:dyDescent="0.25">
      <c r="A2419" t="str">
        <f>T("   848190")</f>
        <v xml:space="preserve">   848190</v>
      </c>
      <c r="B2419" t="str">
        <f>T("   Parties d'articles de robinetterie et organes simil. pour tuyauterie, etc., n.d.a.")</f>
        <v xml:space="preserve">   Parties d'articles de robinetterie et organes simil. pour tuyauterie, etc., n.d.a.</v>
      </c>
      <c r="C2419">
        <v>4866545</v>
      </c>
      <c r="D2419">
        <v>13800</v>
      </c>
    </row>
    <row r="2420" spans="1:4" x14ac:dyDescent="0.25">
      <c r="A2420" t="str">
        <f>T("   850110")</f>
        <v xml:space="preserve">   850110</v>
      </c>
      <c r="B2420" t="str">
        <f>T("   Moteurs d'une puissance &lt;= 37,5 W")</f>
        <v xml:space="preserve">   Moteurs d'une puissance &lt;= 37,5 W</v>
      </c>
      <c r="C2420">
        <v>1769539</v>
      </c>
      <c r="D2420">
        <v>2610</v>
      </c>
    </row>
    <row r="2421" spans="1:4" x14ac:dyDescent="0.25">
      <c r="A2421" t="str">
        <f>T("   850120")</f>
        <v xml:space="preserve">   850120</v>
      </c>
      <c r="B2421" t="str">
        <f>T("   Moteurs universels, puissance &gt; 37,5 W")</f>
        <v xml:space="preserve">   Moteurs universels, puissance &gt; 37,5 W</v>
      </c>
      <c r="C2421">
        <v>2410651</v>
      </c>
      <c r="D2421">
        <v>212</v>
      </c>
    </row>
    <row r="2422" spans="1:4" x14ac:dyDescent="0.25">
      <c r="A2422" t="str">
        <f>T("   850131")</f>
        <v xml:space="preserve">   850131</v>
      </c>
      <c r="B2422" t="str">
        <f>T("   Moteurs à courant continu, puissance &lt;= 750 W mais &gt; 37,5 W et génératrices à courant continu, puissance &lt;= 750 W")</f>
        <v xml:space="preserve">   Moteurs à courant continu, puissance &lt;= 750 W mais &gt; 37,5 W et génératrices à courant continu, puissance &lt;= 750 W</v>
      </c>
      <c r="C2422">
        <v>2227141</v>
      </c>
      <c r="D2422">
        <v>4605</v>
      </c>
    </row>
    <row r="2423" spans="1:4" x14ac:dyDescent="0.25">
      <c r="A2423" t="str">
        <f>T("   850133")</f>
        <v xml:space="preserve">   850133</v>
      </c>
      <c r="B2423" t="str">
        <f>T("   Moteurs et génératrices à courant continu, puissance &gt; 75 kW mais &lt;= 375 kW")</f>
        <v xml:space="preserve">   Moteurs et génératrices à courant continu, puissance &gt; 75 kW mais &lt;= 375 kW</v>
      </c>
      <c r="C2423">
        <v>327980</v>
      </c>
      <c r="D2423">
        <v>1500</v>
      </c>
    </row>
    <row r="2424" spans="1:4" x14ac:dyDescent="0.25">
      <c r="A2424" t="str">
        <f>T("   850151")</f>
        <v xml:space="preserve">   850151</v>
      </c>
      <c r="B2424" t="str">
        <f>T("   Moteurs à courant alternatif, polyphasés, puissance &gt; 37,5 W mais &lt;= 750 W")</f>
        <v xml:space="preserve">   Moteurs à courant alternatif, polyphasés, puissance &gt; 37,5 W mais &lt;= 750 W</v>
      </c>
      <c r="C2424">
        <v>121276</v>
      </c>
      <c r="D2424">
        <v>1000</v>
      </c>
    </row>
    <row r="2425" spans="1:4" x14ac:dyDescent="0.25">
      <c r="A2425" t="str">
        <f>T("   850152")</f>
        <v xml:space="preserve">   850152</v>
      </c>
      <c r="B2425" t="str">
        <f>T("   Moteurs à courant alternatif, polyphasés, puissance &gt; 750 W mais &lt;= 75 kW")</f>
        <v xml:space="preserve">   Moteurs à courant alternatif, polyphasés, puissance &gt; 750 W mais &lt;= 75 kW</v>
      </c>
      <c r="C2425">
        <v>285692</v>
      </c>
      <c r="D2425">
        <v>594</v>
      </c>
    </row>
    <row r="2426" spans="1:4" x14ac:dyDescent="0.25">
      <c r="A2426" t="str">
        <f>T("   850161")</f>
        <v xml:space="preserve">   850161</v>
      </c>
      <c r="B2426" t="str">
        <f>T("   Alternateurs, puissance &lt;= 75 kVA")</f>
        <v xml:space="preserve">   Alternateurs, puissance &lt;= 75 kVA</v>
      </c>
      <c r="C2426">
        <v>747786</v>
      </c>
      <c r="D2426">
        <v>2000</v>
      </c>
    </row>
    <row r="2427" spans="1:4" x14ac:dyDescent="0.25">
      <c r="A2427" t="str">
        <f>T("   850162")</f>
        <v xml:space="preserve">   850162</v>
      </c>
      <c r="B2427" t="str">
        <f>T("   Alternateurs, puissance &gt; 75 kVA mais &lt;= 375 kVA")</f>
        <v xml:space="preserve">   Alternateurs, puissance &gt; 75 kVA mais &lt;= 375 kVA</v>
      </c>
      <c r="C2427">
        <v>117441</v>
      </c>
      <c r="D2427">
        <v>208</v>
      </c>
    </row>
    <row r="2428" spans="1:4" x14ac:dyDescent="0.25">
      <c r="A2428" t="str">
        <f>T("   850211")</f>
        <v xml:space="preserve">   850211</v>
      </c>
      <c r="B2428" t="s">
        <v>444</v>
      </c>
      <c r="C2428">
        <v>30496643</v>
      </c>
      <c r="D2428">
        <v>21457</v>
      </c>
    </row>
    <row r="2429" spans="1:4" x14ac:dyDescent="0.25">
      <c r="A2429" t="str">
        <f>T("   850212")</f>
        <v xml:space="preserve">   850212</v>
      </c>
      <c r="B2429"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2429">
        <v>18287962</v>
      </c>
      <c r="D2429">
        <v>9574</v>
      </c>
    </row>
    <row r="2430" spans="1:4" x14ac:dyDescent="0.25">
      <c r="A2430" t="str">
        <f>T("   850220")</f>
        <v xml:space="preserve">   850220</v>
      </c>
      <c r="B2430" t="s">
        <v>446</v>
      </c>
      <c r="C2430">
        <v>5738777</v>
      </c>
      <c r="D2430">
        <v>6833</v>
      </c>
    </row>
    <row r="2431" spans="1:4" x14ac:dyDescent="0.25">
      <c r="A2431" t="str">
        <f>T("   850231")</f>
        <v xml:space="preserve">   850231</v>
      </c>
      <c r="B2431" t="str">
        <f>T("   Groupes électrogènes à énergie éolienne")</f>
        <v xml:space="preserve">   Groupes électrogènes à énergie éolienne</v>
      </c>
      <c r="C2431">
        <v>242367</v>
      </c>
      <c r="D2431">
        <v>112</v>
      </c>
    </row>
    <row r="2432" spans="1:4" x14ac:dyDescent="0.25">
      <c r="A2432" t="str">
        <f>T("   850239")</f>
        <v xml:space="preserve">   850239</v>
      </c>
      <c r="B2432" t="str">
        <f>T("   Groupes électrogènes (autres qu'à énergie éolienne et à moteurs à piston)")</f>
        <v xml:space="preserve">   Groupes électrogènes (autres qu'à énergie éolienne et à moteurs à piston)</v>
      </c>
      <c r="C2432">
        <v>14501410</v>
      </c>
      <c r="D2432">
        <v>18808</v>
      </c>
    </row>
    <row r="2433" spans="1:4" x14ac:dyDescent="0.25">
      <c r="A2433" t="str">
        <f>T("   850300")</f>
        <v xml:space="preserve">   850300</v>
      </c>
      <c r="B2433"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2433">
        <v>7133897</v>
      </c>
      <c r="D2433">
        <v>23365</v>
      </c>
    </row>
    <row r="2434" spans="1:4" x14ac:dyDescent="0.25">
      <c r="A2434" t="str">
        <f>T("   850410")</f>
        <v xml:space="preserve">   850410</v>
      </c>
      <c r="B2434" t="str">
        <f>T("   Ballasts pour lampes ou tubes à décharge")</f>
        <v xml:space="preserve">   Ballasts pour lampes ou tubes à décharge</v>
      </c>
      <c r="C2434">
        <v>449630</v>
      </c>
      <c r="D2434">
        <v>600</v>
      </c>
    </row>
    <row r="2435" spans="1:4" x14ac:dyDescent="0.25">
      <c r="A2435" t="str">
        <f>T("   850421")</f>
        <v xml:space="preserve">   850421</v>
      </c>
      <c r="B2435" t="str">
        <f>T("   Transformateurs à diélectrique liquide, puissance &lt;= 650 kVA")</f>
        <v xml:space="preserve">   Transformateurs à diélectrique liquide, puissance &lt;= 650 kVA</v>
      </c>
      <c r="C2435">
        <v>193265258</v>
      </c>
      <c r="D2435">
        <v>58730</v>
      </c>
    </row>
    <row r="2436" spans="1:4" x14ac:dyDescent="0.25">
      <c r="A2436" t="str">
        <f>T("   850431")</f>
        <v xml:space="preserve">   850431</v>
      </c>
      <c r="B2436" t="str">
        <f>T("   Transformateurs à sec, puissance &lt;= 1 kVA")</f>
        <v xml:space="preserve">   Transformateurs à sec, puissance &lt;= 1 kVA</v>
      </c>
      <c r="C2436">
        <v>5883796</v>
      </c>
      <c r="D2436">
        <v>8600</v>
      </c>
    </row>
    <row r="2437" spans="1:4" x14ac:dyDescent="0.25">
      <c r="A2437" t="str">
        <f>T("   850433")</f>
        <v xml:space="preserve">   850433</v>
      </c>
      <c r="B2437" t="str">
        <f>T("   Transformateurs à sec, puissance &gt; 16 kVA mais &lt;= 500 kVA")</f>
        <v xml:space="preserve">   Transformateurs à sec, puissance &gt; 16 kVA mais &lt;= 500 kVA</v>
      </c>
      <c r="C2437">
        <v>41023738</v>
      </c>
      <c r="D2437">
        <v>68770</v>
      </c>
    </row>
    <row r="2438" spans="1:4" x14ac:dyDescent="0.25">
      <c r="A2438" t="str">
        <f>T("   850440")</f>
        <v xml:space="preserve">   850440</v>
      </c>
      <c r="B2438" t="str">
        <f>T("   CONVERTISSEURS STATIQUES")</f>
        <v xml:space="preserve">   CONVERTISSEURS STATIQUES</v>
      </c>
      <c r="C2438">
        <v>59697753</v>
      </c>
      <c r="D2438">
        <v>25535.3</v>
      </c>
    </row>
    <row r="2439" spans="1:4" x14ac:dyDescent="0.25">
      <c r="A2439" t="str">
        <f>T("   850450")</f>
        <v xml:space="preserve">   850450</v>
      </c>
      <c r="B2439" t="str">
        <f>T("   Bobines de réactance et autres selfs (autres que pour lampes ou tubes à décharge)")</f>
        <v xml:space="preserve">   Bobines de réactance et autres selfs (autres que pour lampes ou tubes à décharge)</v>
      </c>
      <c r="C2439">
        <v>10546</v>
      </c>
      <c r="D2439">
        <v>33</v>
      </c>
    </row>
    <row r="2440" spans="1:4" x14ac:dyDescent="0.25">
      <c r="A2440" t="str">
        <f>T("   850610")</f>
        <v xml:space="preserve">   850610</v>
      </c>
      <c r="B2440" t="str">
        <f>T("   Piles et batteries de piles électriques, au bioxyde de manganèse (sauf hors d'usage)")</f>
        <v xml:space="preserve">   Piles et batteries de piles électriques, au bioxyde de manganèse (sauf hors d'usage)</v>
      </c>
      <c r="C2440">
        <v>317632681</v>
      </c>
      <c r="D2440">
        <v>1663396</v>
      </c>
    </row>
    <row r="2441" spans="1:4" x14ac:dyDescent="0.25">
      <c r="A2441" t="str">
        <f>T("   850660")</f>
        <v xml:space="preserve">   850660</v>
      </c>
      <c r="B2441" t="str">
        <f>T("   Piles et batteries de piles électriques, à l'air-zinc (sauf hors d'usage)")</f>
        <v xml:space="preserve">   Piles et batteries de piles électriques, à l'air-zinc (sauf hors d'usage)</v>
      </c>
      <c r="C2441">
        <v>53581946</v>
      </c>
      <c r="D2441">
        <v>284002</v>
      </c>
    </row>
    <row r="2442" spans="1:4" x14ac:dyDescent="0.25">
      <c r="A2442" t="str">
        <f>T("   850680")</f>
        <v xml:space="preserve">   850680</v>
      </c>
      <c r="B2442"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2442">
        <v>136370271</v>
      </c>
      <c r="D2442">
        <v>978144</v>
      </c>
    </row>
    <row r="2443" spans="1:4" x14ac:dyDescent="0.25">
      <c r="A2443" t="str">
        <f>T("   850710")</f>
        <v xml:space="preserve">   850710</v>
      </c>
      <c r="B2443" t="str">
        <f>T("   Accumulateurs au plomb, pour le démarrage des moteurs à piston (sauf hors d'usage)")</f>
        <v xml:space="preserve">   Accumulateurs au plomb, pour le démarrage des moteurs à piston (sauf hors d'usage)</v>
      </c>
      <c r="C2443">
        <v>54626891</v>
      </c>
      <c r="D2443">
        <v>188823</v>
      </c>
    </row>
    <row r="2444" spans="1:4" x14ac:dyDescent="0.25">
      <c r="A2444" t="str">
        <f>T("   850720")</f>
        <v xml:space="preserve">   850720</v>
      </c>
      <c r="B2444" t="str">
        <f>T("   Accumulateurs au plomb (sauf hors d'usage et autres que pour le démarrage des moteurs à piston)")</f>
        <v xml:space="preserve">   Accumulateurs au plomb (sauf hors d'usage et autres que pour le démarrage des moteurs à piston)</v>
      </c>
      <c r="C2444">
        <v>305825</v>
      </c>
      <c r="D2444">
        <v>531</v>
      </c>
    </row>
    <row r="2445" spans="1:4" x14ac:dyDescent="0.25">
      <c r="A2445" t="str">
        <f>T("   850780")</f>
        <v xml:space="preserve">   850780</v>
      </c>
      <c r="B2445" t="str">
        <f>T("   Accumulateurs électriques (sauf hors d'usage et autres qu'au plomb, au nickel-cadmium ou au nickel-fer)")</f>
        <v xml:space="preserve">   Accumulateurs électriques (sauf hors d'usage et autres qu'au plomb, au nickel-cadmium ou au nickel-fer)</v>
      </c>
      <c r="C2445">
        <v>186753648</v>
      </c>
      <c r="D2445">
        <v>92821</v>
      </c>
    </row>
    <row r="2446" spans="1:4" x14ac:dyDescent="0.25">
      <c r="A2446" t="str">
        <f>T("   850820")</f>
        <v xml:space="preserve">   850820</v>
      </c>
      <c r="B2446" t="str">
        <f>T("   SCIES ET TRONCONNEUSES A MOTEUR ELECTRIQUE INCORPORE")</f>
        <v xml:space="preserve">   SCIES ET TRONCONNEUSES A MOTEUR ELECTRIQUE INCORPORE</v>
      </c>
      <c r="C2446">
        <v>50732750</v>
      </c>
      <c r="D2446">
        <v>93700</v>
      </c>
    </row>
    <row r="2447" spans="1:4" x14ac:dyDescent="0.25">
      <c r="A2447" t="str">
        <f>T("   850910")</f>
        <v xml:space="preserve">   850910</v>
      </c>
      <c r="B2447"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2447">
        <v>1039178</v>
      </c>
      <c r="D2447">
        <v>667</v>
      </c>
    </row>
    <row r="2448" spans="1:4" x14ac:dyDescent="0.25">
      <c r="A2448" t="str">
        <f>T("   850940")</f>
        <v xml:space="preserve">   850940</v>
      </c>
      <c r="B2448"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2448">
        <v>957051</v>
      </c>
      <c r="D2448">
        <v>1064</v>
      </c>
    </row>
    <row r="2449" spans="1:4" x14ac:dyDescent="0.25">
      <c r="A2449" t="str">
        <f>T("   850980")</f>
        <v xml:space="preserve">   850980</v>
      </c>
      <c r="B2449" t="s">
        <v>447</v>
      </c>
      <c r="C2449">
        <v>3788397</v>
      </c>
      <c r="D2449">
        <v>3733</v>
      </c>
    </row>
    <row r="2450" spans="1:4" x14ac:dyDescent="0.25">
      <c r="A2450" t="str">
        <f>T("   850990")</f>
        <v xml:space="preserve">   850990</v>
      </c>
      <c r="B2450" t="str">
        <f>T("   Parties d'appareils électromécaniques à moteur électrique incorporé, à usage domestique, n.d.a.")</f>
        <v xml:space="preserve">   Parties d'appareils électromécaniques à moteur électrique incorporé, à usage domestique, n.d.a.</v>
      </c>
      <c r="C2450">
        <v>149298</v>
      </c>
      <c r="D2450">
        <v>150</v>
      </c>
    </row>
    <row r="2451" spans="1:4" x14ac:dyDescent="0.25">
      <c r="A2451" t="str">
        <f>T("   851120")</f>
        <v xml:space="preserve">   851120</v>
      </c>
      <c r="B2451" t="str">
        <f>T("   Magnétos, dynamos-magnétos, volants magnétiques, pour moteurs à allumage par étincelles ou par compression")</f>
        <v xml:space="preserve">   Magnétos, dynamos-magnétos, volants magnétiques, pour moteurs à allumage par étincelles ou par compression</v>
      </c>
      <c r="C2451">
        <v>31498</v>
      </c>
      <c r="D2451">
        <v>10</v>
      </c>
    </row>
    <row r="2452" spans="1:4" x14ac:dyDescent="0.25">
      <c r="A2452" t="str">
        <f>T("   851220")</f>
        <v xml:space="preserve">   851220</v>
      </c>
      <c r="B2452" t="str">
        <f>T("   Appareils électriques d'éclairage ou de signalisation visuelle, pour automobiles (à l'excl. des lampes du n° 8539)")</f>
        <v xml:space="preserve">   Appareils électriques d'éclairage ou de signalisation visuelle, pour automobiles (à l'excl. des lampes du n° 8539)</v>
      </c>
      <c r="C2452">
        <v>4600556</v>
      </c>
      <c r="D2452">
        <v>4816</v>
      </c>
    </row>
    <row r="2453" spans="1:4" x14ac:dyDescent="0.25">
      <c r="A2453" t="str">
        <f>T("   851230")</f>
        <v xml:space="preserve">   851230</v>
      </c>
      <c r="B2453" t="str">
        <f>T("   APPAREILS ÉLECTRIQUES DE SIGNALISATION ACOUSTIQUE, POUR CYCLES OU POUR AUTOMOBILES")</f>
        <v xml:space="preserve">   APPAREILS ÉLECTRIQUES DE SIGNALISATION ACOUSTIQUE, POUR CYCLES OU POUR AUTOMOBILES</v>
      </c>
      <c r="C2453">
        <v>57042</v>
      </c>
      <c r="D2453">
        <v>72</v>
      </c>
    </row>
    <row r="2454" spans="1:4" x14ac:dyDescent="0.25">
      <c r="A2454" t="str">
        <f>T("   851310")</f>
        <v xml:space="preserve">   851310</v>
      </c>
      <c r="B2454" t="str">
        <f>T("   Lampes électriques portatives, destinées à fonctionner au moyen de leur propre source d'énergie")</f>
        <v xml:space="preserve">   Lampes électriques portatives, destinées à fonctionner au moyen de leur propre source d'énergie</v>
      </c>
      <c r="C2454">
        <v>99760550</v>
      </c>
      <c r="D2454">
        <v>213691</v>
      </c>
    </row>
    <row r="2455" spans="1:4" x14ac:dyDescent="0.25">
      <c r="A2455" t="str">
        <f>T("   851519")</f>
        <v xml:space="preserve">   851519</v>
      </c>
      <c r="B2455" t="str">
        <f>T("   Machines et appareils électriques pour le brasage fort ou tendre (sauf fers et pistolets à braser)")</f>
        <v xml:space="preserve">   Machines et appareils électriques pour le brasage fort ou tendre (sauf fers et pistolets à braser)</v>
      </c>
      <c r="C2455">
        <v>140210</v>
      </c>
      <c r="D2455">
        <v>250</v>
      </c>
    </row>
    <row r="2456" spans="1:4" x14ac:dyDescent="0.25">
      <c r="A2456" t="str">
        <f>T("   851580")</f>
        <v xml:space="preserve">   851580</v>
      </c>
      <c r="B2456" t="s">
        <v>450</v>
      </c>
      <c r="C2456">
        <v>250577</v>
      </c>
      <c r="D2456">
        <v>100</v>
      </c>
    </row>
    <row r="2457" spans="1:4" x14ac:dyDescent="0.25">
      <c r="A2457" t="str">
        <f>T("   851610")</f>
        <v xml:space="preserve">   851610</v>
      </c>
      <c r="B2457" t="str">
        <f>T("   Chauffe-eau et thermoplongeurs électriques")</f>
        <v xml:space="preserve">   Chauffe-eau et thermoplongeurs électriques</v>
      </c>
      <c r="C2457">
        <v>13992810</v>
      </c>
      <c r="D2457">
        <v>14620</v>
      </c>
    </row>
    <row r="2458" spans="1:4" x14ac:dyDescent="0.25">
      <c r="A2458" t="str">
        <f>T("   851640")</f>
        <v xml:space="preserve">   851640</v>
      </c>
      <c r="B2458" t="str">
        <f>T("   Fers à repasser électriques")</f>
        <v xml:space="preserve">   Fers à repasser électriques</v>
      </c>
      <c r="C2458">
        <v>5795724</v>
      </c>
      <c r="D2458">
        <v>14796</v>
      </c>
    </row>
    <row r="2459" spans="1:4" x14ac:dyDescent="0.25">
      <c r="A2459" t="str">
        <f>T("   851650")</f>
        <v xml:space="preserve">   851650</v>
      </c>
      <c r="B2459" t="str">
        <f>T("   Fours à micro-ondes")</f>
        <v xml:space="preserve">   Fours à micro-ondes</v>
      </c>
      <c r="C2459">
        <v>962360</v>
      </c>
      <c r="D2459">
        <v>5434</v>
      </c>
    </row>
    <row r="2460" spans="1:4" x14ac:dyDescent="0.25">
      <c r="A2460" t="str">
        <f>T("   851660")</f>
        <v xml:space="preserve">   851660</v>
      </c>
      <c r="B2460"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2460">
        <v>15948275</v>
      </c>
      <c r="D2460">
        <v>34914</v>
      </c>
    </row>
    <row r="2461" spans="1:4" x14ac:dyDescent="0.25">
      <c r="A2461" t="str">
        <f>T("   851671")</f>
        <v xml:space="preserve">   851671</v>
      </c>
      <c r="B2461" t="str">
        <f>T("   Appareils électriques pour la préparation du café ou du thé, pour usages domestiques")</f>
        <v xml:space="preserve">   Appareils électriques pour la préparation du café ou du thé, pour usages domestiques</v>
      </c>
      <c r="C2461">
        <v>596830</v>
      </c>
      <c r="D2461">
        <v>500</v>
      </c>
    </row>
    <row r="2462" spans="1:4" x14ac:dyDescent="0.25">
      <c r="A2462" t="str">
        <f>T("   851679")</f>
        <v xml:space="preserve">   851679</v>
      </c>
      <c r="B2462" t="s">
        <v>451</v>
      </c>
      <c r="C2462">
        <v>17622367</v>
      </c>
      <c r="D2462">
        <v>7583</v>
      </c>
    </row>
    <row r="2463" spans="1:4" x14ac:dyDescent="0.25">
      <c r="A2463" t="str">
        <f>T("   851690")</f>
        <v xml:space="preserve">   851690</v>
      </c>
      <c r="B2463"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2463">
        <v>2508892</v>
      </c>
      <c r="D2463">
        <v>2514</v>
      </c>
    </row>
    <row r="2464" spans="1:4" x14ac:dyDescent="0.25">
      <c r="A2464" t="str">
        <f>T("   851719")</f>
        <v xml:space="preserve">   851719</v>
      </c>
      <c r="B2464"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2464">
        <v>1758343</v>
      </c>
      <c r="D2464">
        <v>2190.5</v>
      </c>
    </row>
    <row r="2465" spans="1:4" x14ac:dyDescent="0.25">
      <c r="A2465" t="str">
        <f>T("   851721")</f>
        <v xml:space="preserve">   851721</v>
      </c>
      <c r="B2465" t="str">
        <f>T("   Télécopieurs pour la téléphonie par fil")</f>
        <v xml:space="preserve">   Télécopieurs pour la téléphonie par fil</v>
      </c>
      <c r="C2465">
        <v>2000678</v>
      </c>
      <c r="D2465">
        <v>2062</v>
      </c>
    </row>
    <row r="2466" spans="1:4" x14ac:dyDescent="0.25">
      <c r="A2466" t="str">
        <f>T("   851750")</f>
        <v xml:space="preserve">   851750</v>
      </c>
      <c r="B2466" t="s">
        <v>452</v>
      </c>
      <c r="C2466">
        <v>1024977</v>
      </c>
      <c r="D2466">
        <v>2101</v>
      </c>
    </row>
    <row r="2467" spans="1:4" x14ac:dyDescent="0.25">
      <c r="A2467" t="str">
        <f>T("   851780")</f>
        <v xml:space="preserve">   851780</v>
      </c>
      <c r="B2467" t="s">
        <v>453</v>
      </c>
      <c r="C2467">
        <v>445330559</v>
      </c>
      <c r="D2467">
        <v>16260.5</v>
      </c>
    </row>
    <row r="2468" spans="1:4" x14ac:dyDescent="0.25">
      <c r="A2468" t="str">
        <f>T("   851790")</f>
        <v xml:space="preserve">   851790</v>
      </c>
      <c r="B2468" t="s">
        <v>454</v>
      </c>
      <c r="C2468">
        <v>26873275</v>
      </c>
      <c r="D2468">
        <v>11566.25</v>
      </c>
    </row>
    <row r="2469" spans="1:4" x14ac:dyDescent="0.25">
      <c r="A2469" t="str">
        <f>T("   851810")</f>
        <v xml:space="preserve">   851810</v>
      </c>
      <c r="B2469" t="str">
        <f>T("   Microphones et leurs supports (autres que sans fil, avec émetteur incorporé)")</f>
        <v xml:space="preserve">   Microphones et leurs supports (autres que sans fil, avec émetteur incorporé)</v>
      </c>
      <c r="C2469">
        <v>3094348</v>
      </c>
      <c r="D2469">
        <v>3204</v>
      </c>
    </row>
    <row r="2470" spans="1:4" x14ac:dyDescent="0.25">
      <c r="A2470" t="str">
        <f>T("   851821")</f>
        <v xml:space="preserve">   851821</v>
      </c>
      <c r="B2470" t="str">
        <f>T("   Haut-parleur unique monté dans son enceinte")</f>
        <v xml:space="preserve">   Haut-parleur unique monté dans son enceinte</v>
      </c>
      <c r="C2470">
        <v>5915134</v>
      </c>
      <c r="D2470">
        <v>14161</v>
      </c>
    </row>
    <row r="2471" spans="1:4" x14ac:dyDescent="0.25">
      <c r="A2471" t="str">
        <f>T("   851829")</f>
        <v xml:space="preserve">   851829</v>
      </c>
      <c r="B2471" t="str">
        <f>T("   Haut-parleurs sans enceinte")</f>
        <v xml:space="preserve">   Haut-parleurs sans enceinte</v>
      </c>
      <c r="C2471">
        <v>148608683</v>
      </c>
      <c r="D2471">
        <v>212074</v>
      </c>
    </row>
    <row r="2472" spans="1:4" x14ac:dyDescent="0.25">
      <c r="A2472" t="str">
        <f>T("   851830")</f>
        <v xml:space="preserve">   851830</v>
      </c>
      <c r="B2472" t="s">
        <v>455</v>
      </c>
      <c r="C2472">
        <v>1340263</v>
      </c>
      <c r="D2472">
        <v>1570</v>
      </c>
    </row>
    <row r="2473" spans="1:4" x14ac:dyDescent="0.25">
      <c r="A2473" t="str">
        <f>T("   851840")</f>
        <v xml:space="preserve">   851840</v>
      </c>
      <c r="B2473" t="str">
        <f>T("   Amplificateurs électriques d'audiofréquence")</f>
        <v xml:space="preserve">   Amplificateurs électriques d'audiofréquence</v>
      </c>
      <c r="C2473">
        <v>81010</v>
      </c>
      <c r="D2473">
        <v>11</v>
      </c>
    </row>
    <row r="2474" spans="1:4" x14ac:dyDescent="0.25">
      <c r="A2474" t="str">
        <f>T("   851850")</f>
        <v xml:space="preserve">   851850</v>
      </c>
      <c r="B2474" t="str">
        <f>T("   Appareils électriques d'amplification du son")</f>
        <v xml:space="preserve">   Appareils électriques d'amplification du son</v>
      </c>
      <c r="C2474">
        <v>3064861</v>
      </c>
      <c r="D2474">
        <v>5430</v>
      </c>
    </row>
    <row r="2475" spans="1:4" x14ac:dyDescent="0.25">
      <c r="A2475" t="str">
        <f>T("   851929")</f>
        <v xml:space="preserve">   851929</v>
      </c>
      <c r="B2475" t="str">
        <f>T("   ÉLECTROPHONES AVEC AMPLIFICATEUR ET HAUT-PARLEUR (AUTRES QUE COMMANDÉS PAR L'INTRODUCTION D'UNE PIÈCE DE MONNAIE OU D'UN JETON)")</f>
        <v xml:space="preserve">   ÉLECTROPHONES AVEC AMPLIFICATEUR ET HAUT-PARLEUR (AUTRES QUE COMMANDÉS PAR L'INTRODUCTION D'UNE PIÈCE DE MONNAIE OU D'UN JETON)</v>
      </c>
      <c r="C2475">
        <v>109292</v>
      </c>
      <c r="D2475">
        <v>90</v>
      </c>
    </row>
    <row r="2476" spans="1:4" x14ac:dyDescent="0.25">
      <c r="A2476" t="str">
        <f>T("   851999")</f>
        <v xml:space="preserve">   851999</v>
      </c>
      <c r="B2476"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2476">
        <v>2221080</v>
      </c>
      <c r="D2476">
        <v>310</v>
      </c>
    </row>
    <row r="2477" spans="1:4" x14ac:dyDescent="0.25">
      <c r="A2477" t="str">
        <f>T("   852110")</f>
        <v xml:space="preserve">   852110</v>
      </c>
      <c r="B2477" t="s">
        <v>456</v>
      </c>
      <c r="C2477">
        <v>2000000</v>
      </c>
      <c r="D2477">
        <v>10250</v>
      </c>
    </row>
    <row r="2478" spans="1:4" x14ac:dyDescent="0.25">
      <c r="A2478" t="str">
        <f>T("   852190")</f>
        <v xml:space="preserve">   852190</v>
      </c>
      <c r="B2478" t="s">
        <v>457</v>
      </c>
      <c r="C2478">
        <v>86482804</v>
      </c>
      <c r="D2478">
        <v>91861</v>
      </c>
    </row>
    <row r="2479" spans="1:4" x14ac:dyDescent="0.25">
      <c r="A2479" t="str">
        <f>T("   852290")</f>
        <v xml:space="preserve">   852290</v>
      </c>
      <c r="B2479" t="s">
        <v>458</v>
      </c>
      <c r="C2479">
        <v>738199</v>
      </c>
      <c r="D2479">
        <v>2545</v>
      </c>
    </row>
    <row r="2480" spans="1:4" x14ac:dyDescent="0.25">
      <c r="A2480" t="str">
        <f>T("   852330")</f>
        <v xml:space="preserve">   852330</v>
      </c>
      <c r="B2480" t="str">
        <f>T("   Cartes munies d'une piste magnétique non enregistrée")</f>
        <v xml:space="preserve">   Cartes munies d'une piste magnétique non enregistrée</v>
      </c>
      <c r="C2480">
        <v>6976135</v>
      </c>
      <c r="D2480">
        <v>590</v>
      </c>
    </row>
    <row r="2481" spans="1:4" x14ac:dyDescent="0.25">
      <c r="A2481" t="str">
        <f>T("   852390")</f>
        <v xml:space="preserve">   852390</v>
      </c>
      <c r="B2481"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2481">
        <v>534955</v>
      </c>
      <c r="D2481">
        <v>3104</v>
      </c>
    </row>
    <row r="2482" spans="1:4" x14ac:dyDescent="0.25">
      <c r="A2482" t="str">
        <f>T("   852439")</f>
        <v xml:space="preserve">   852439</v>
      </c>
      <c r="B2482"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2482">
        <v>145190</v>
      </c>
      <c r="D2482">
        <v>50</v>
      </c>
    </row>
    <row r="2483" spans="1:4" x14ac:dyDescent="0.25">
      <c r="A2483" t="str">
        <f>T("   852499")</f>
        <v xml:space="preserve">   852499</v>
      </c>
      <c r="B2483" t="s">
        <v>460</v>
      </c>
      <c r="C2483">
        <v>6393237</v>
      </c>
      <c r="D2483">
        <v>13979</v>
      </c>
    </row>
    <row r="2484" spans="1:4" x14ac:dyDescent="0.25">
      <c r="A2484" t="str">
        <f>T("   852510")</f>
        <v xml:space="preserve">   852510</v>
      </c>
      <c r="B2484" t="str">
        <f>T("   Appareils d'émission, pour la radiotéléphonie, la radiotélégraphie, la radiodiffusion ou la télévision")</f>
        <v xml:space="preserve">   Appareils d'émission, pour la radiotéléphonie, la radiotélégraphie, la radiodiffusion ou la télévision</v>
      </c>
      <c r="C2484">
        <v>716149</v>
      </c>
      <c r="D2484">
        <v>685</v>
      </c>
    </row>
    <row r="2485" spans="1:4" x14ac:dyDescent="0.25">
      <c r="A2485" t="str">
        <f>T("   852540")</f>
        <v xml:space="preserve">   852540</v>
      </c>
      <c r="B2485" t="str">
        <f>T("   Appareils de prise de vues fixes vidéo et autres caméscopes; appareils photographiques numériques")</f>
        <v xml:space="preserve">   Appareils de prise de vues fixes vidéo et autres caméscopes; appareils photographiques numériques</v>
      </c>
      <c r="C2485">
        <v>223933</v>
      </c>
      <c r="D2485">
        <v>10</v>
      </c>
    </row>
    <row r="2486" spans="1:4" x14ac:dyDescent="0.25">
      <c r="A2486" t="str">
        <f>T("   852712")</f>
        <v xml:space="preserve">   852712</v>
      </c>
      <c r="B2486" t="str">
        <f>T("   Radiocassettes de poche [dimensions &lt;= 170 mm x 100 mm x 45 mm], avec amplificateur incorporé, sans haut-parleur incorporé, pouvant fonctionner sans source d'énergie électrique extérieure")</f>
        <v xml:space="preserve">   Radiocassettes de poche [dimensions &lt;= 170 mm x 100 mm x 45 mm], avec amplificateur incorporé, sans haut-parleur incorporé, pouvant fonctionner sans source d'énergie électrique extérieure</v>
      </c>
      <c r="C2486">
        <v>9106759</v>
      </c>
      <c r="D2486">
        <v>3171</v>
      </c>
    </row>
    <row r="2487" spans="1:4" x14ac:dyDescent="0.25">
      <c r="A2487" t="str">
        <f>T("   852713")</f>
        <v xml:space="preserve">   852713</v>
      </c>
      <c r="B2487"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2487">
        <v>9868571</v>
      </c>
      <c r="D2487">
        <v>13232</v>
      </c>
    </row>
    <row r="2488" spans="1:4" x14ac:dyDescent="0.25">
      <c r="A2488" t="str">
        <f>T("   852719")</f>
        <v xml:space="preserve">   852719</v>
      </c>
      <c r="B2488"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2488">
        <v>10841147</v>
      </c>
      <c r="D2488">
        <v>36950</v>
      </c>
    </row>
    <row r="2489" spans="1:4" x14ac:dyDescent="0.25">
      <c r="A2489" t="str">
        <f>T("   852729")</f>
        <v xml:space="preserve">   852729</v>
      </c>
      <c r="B2489" t="s">
        <v>461</v>
      </c>
      <c r="C2489">
        <v>694706</v>
      </c>
      <c r="D2489">
        <v>82</v>
      </c>
    </row>
    <row r="2490" spans="1:4" x14ac:dyDescent="0.25">
      <c r="A2490" t="str">
        <f>T("   852731")</f>
        <v xml:space="preserve">   852731</v>
      </c>
      <c r="B2490" t="s">
        <v>462</v>
      </c>
      <c r="C2490">
        <v>1362825</v>
      </c>
      <c r="D2490">
        <v>1367</v>
      </c>
    </row>
    <row r="2491" spans="1:4" x14ac:dyDescent="0.25">
      <c r="A2491" t="str">
        <f>T("   852790")</f>
        <v xml:space="preserve">   852790</v>
      </c>
      <c r="B2491" t="str">
        <f>T("   Récepteurs pour la radiotéléphonie, la radiotélégraphie ou la radiodiffusion commerciale")</f>
        <v xml:space="preserve">   Récepteurs pour la radiotéléphonie, la radiotélégraphie ou la radiodiffusion commerciale</v>
      </c>
      <c r="C2491">
        <v>1337035</v>
      </c>
      <c r="D2491">
        <v>10150</v>
      </c>
    </row>
    <row r="2492" spans="1:4" x14ac:dyDescent="0.25">
      <c r="A2492" t="str">
        <f>T("   852812")</f>
        <v xml:space="preserve">   852812</v>
      </c>
      <c r="B2492"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2492">
        <v>314615137</v>
      </c>
      <c r="D2492">
        <v>443333</v>
      </c>
    </row>
    <row r="2493" spans="1:4" x14ac:dyDescent="0.25">
      <c r="A2493" t="str">
        <f>T("   852813")</f>
        <v xml:space="preserve">   852813</v>
      </c>
      <c r="B2493"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2493">
        <v>955539</v>
      </c>
      <c r="D2493">
        <v>7248</v>
      </c>
    </row>
    <row r="2494" spans="1:4" x14ac:dyDescent="0.25">
      <c r="A2494" t="str">
        <f>T("   852821")</f>
        <v xml:space="preserve">   852821</v>
      </c>
      <c r="B2494" t="str">
        <f>T("   Moniteurs vidéo en couleurs")</f>
        <v xml:space="preserve">   Moniteurs vidéo en couleurs</v>
      </c>
      <c r="C2494">
        <v>470545</v>
      </c>
      <c r="D2494">
        <v>68</v>
      </c>
    </row>
    <row r="2495" spans="1:4" x14ac:dyDescent="0.25">
      <c r="A2495" t="str">
        <f>T("   852910")</f>
        <v xml:space="preserve">   852910</v>
      </c>
      <c r="B2495"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2495">
        <v>43524303</v>
      </c>
      <c r="D2495">
        <v>94695</v>
      </c>
    </row>
    <row r="2496" spans="1:4" x14ac:dyDescent="0.25">
      <c r="A2496" t="str">
        <f>T("   852990")</f>
        <v xml:space="preserve">   852990</v>
      </c>
      <c r="B2496" t="s">
        <v>464</v>
      </c>
      <c r="C2496">
        <v>22588799</v>
      </c>
      <c r="D2496">
        <v>52687</v>
      </c>
    </row>
    <row r="2497" spans="1:4" x14ac:dyDescent="0.25">
      <c r="A2497" t="str">
        <f>T("   853120")</f>
        <v xml:space="preserve">   853120</v>
      </c>
      <c r="B2497" t="str">
        <f>T("   Panneaux indicateurs avec dispositifs à cristaux liquides [LCD] ou à diodes émettrices de lumière [LED] (autres que pour les véhicules automobiles, les bicyclettes ou les voies de communication)")</f>
        <v xml:space="preserve">   Panneaux indicateurs avec dispositifs à cristaux liquides [LCD] ou à diodes émettrices de lumière [LED] (autres que pour les véhicules automobiles, les bicyclettes ou les voies de communication)</v>
      </c>
      <c r="C2497">
        <v>46094</v>
      </c>
      <c r="D2497">
        <v>23</v>
      </c>
    </row>
    <row r="2498" spans="1:4" x14ac:dyDescent="0.25">
      <c r="A2498" t="str">
        <f>T("   853180")</f>
        <v xml:space="preserve">   853180</v>
      </c>
      <c r="B2498" t="s">
        <v>465</v>
      </c>
      <c r="C2498">
        <v>4414122</v>
      </c>
      <c r="D2498">
        <v>14604</v>
      </c>
    </row>
    <row r="2499" spans="1:4" x14ac:dyDescent="0.25">
      <c r="A2499" t="str">
        <f>T("   853190")</f>
        <v xml:space="preserve">   853190</v>
      </c>
      <c r="B2499" t="str">
        <f>T("   Parties des appareils électriques de signalisation acoustique ou visuelle, n.d.a.")</f>
        <v xml:space="preserve">   Parties des appareils électriques de signalisation acoustique ou visuelle, n.d.a.</v>
      </c>
      <c r="C2499">
        <v>3976409</v>
      </c>
      <c r="D2499">
        <v>2094</v>
      </c>
    </row>
    <row r="2500" spans="1:4" x14ac:dyDescent="0.25">
      <c r="A2500" t="str">
        <f>T("   853529")</f>
        <v xml:space="preserve">   853529</v>
      </c>
      <c r="B2500" t="str">
        <f>T("   Disjoncteurs, pour une tension &gt;= 72,5 kV")</f>
        <v xml:space="preserve">   Disjoncteurs, pour une tension &gt;= 72,5 kV</v>
      </c>
      <c r="C2500">
        <v>1000000</v>
      </c>
      <c r="D2500">
        <v>4300</v>
      </c>
    </row>
    <row r="2501" spans="1:4" x14ac:dyDescent="0.25">
      <c r="A2501" t="str">
        <f>T("   853530")</f>
        <v xml:space="preserve">   853530</v>
      </c>
      <c r="B2501" t="str">
        <f>T("   Sectionneurs et interrupteurs, pour une tension &gt; 1.000 V")</f>
        <v xml:space="preserve">   Sectionneurs et interrupteurs, pour une tension &gt; 1.000 V</v>
      </c>
      <c r="C2501">
        <v>1295521</v>
      </c>
      <c r="D2501">
        <v>3355</v>
      </c>
    </row>
    <row r="2502" spans="1:4" x14ac:dyDescent="0.25">
      <c r="A2502" t="str">
        <f>T("   853590")</f>
        <v xml:space="preserve">   853590</v>
      </c>
      <c r="B2502" t="s">
        <v>466</v>
      </c>
      <c r="C2502">
        <v>17622586</v>
      </c>
      <c r="D2502">
        <v>59285</v>
      </c>
    </row>
    <row r="2503" spans="1:4" x14ac:dyDescent="0.25">
      <c r="A2503" t="str">
        <f>T("   853610")</f>
        <v xml:space="preserve">   853610</v>
      </c>
      <c r="B2503" t="str">
        <f>T("   Fusibles et coupe-circuit à fusibles, pour une tension &lt;= 1.000 V")</f>
        <v xml:space="preserve">   Fusibles et coupe-circuit à fusibles, pour une tension &lt;= 1.000 V</v>
      </c>
      <c r="C2503">
        <v>169211</v>
      </c>
      <c r="D2503">
        <v>398</v>
      </c>
    </row>
    <row r="2504" spans="1:4" x14ac:dyDescent="0.25">
      <c r="A2504" t="str">
        <f>T("   853620")</f>
        <v xml:space="preserve">   853620</v>
      </c>
      <c r="B2504" t="str">
        <f>T("   Disjoncteurs, pour une tension &lt;= 1.000 V")</f>
        <v xml:space="preserve">   Disjoncteurs, pour une tension &lt;= 1.000 V</v>
      </c>
      <c r="C2504">
        <v>2903108</v>
      </c>
      <c r="D2504">
        <v>4679</v>
      </c>
    </row>
    <row r="2505" spans="1:4" x14ac:dyDescent="0.25">
      <c r="A2505" t="str">
        <f>T("   853630")</f>
        <v xml:space="preserve">   853630</v>
      </c>
      <c r="B2505"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2505">
        <v>400257</v>
      </c>
      <c r="D2505">
        <v>385</v>
      </c>
    </row>
    <row r="2506" spans="1:4" x14ac:dyDescent="0.25">
      <c r="A2506" t="str">
        <f>T("   853649")</f>
        <v xml:space="preserve">   853649</v>
      </c>
      <c r="B2506" t="str">
        <f>T("   Relais, pour une tension &gt; 60 V mais &lt;= 1.000 V")</f>
        <v xml:space="preserve">   Relais, pour une tension &gt; 60 V mais &lt;= 1.000 V</v>
      </c>
      <c r="C2506">
        <v>2609146</v>
      </c>
      <c r="D2506">
        <v>10919</v>
      </c>
    </row>
    <row r="2507" spans="1:4" x14ac:dyDescent="0.25">
      <c r="A2507" t="str">
        <f>T("   853650")</f>
        <v xml:space="preserve">   853650</v>
      </c>
      <c r="B2507" t="str">
        <f>T("   Interrupteurs, sectionneurs et commutateurs, pour une tension &lt;= 1.000 V (autres que relais et disjoncteurs)")</f>
        <v xml:space="preserve">   Interrupteurs, sectionneurs et commutateurs, pour une tension &lt;= 1.000 V (autres que relais et disjoncteurs)</v>
      </c>
      <c r="C2507">
        <v>30641985</v>
      </c>
      <c r="D2507">
        <v>86484</v>
      </c>
    </row>
    <row r="2508" spans="1:4" x14ac:dyDescent="0.25">
      <c r="A2508" t="str">
        <f>T("   853661")</f>
        <v xml:space="preserve">   853661</v>
      </c>
      <c r="B2508" t="str">
        <f>T("   Douilles pour lampes, pour une tension &lt;= 1.000 V")</f>
        <v xml:space="preserve">   Douilles pour lampes, pour une tension &lt;= 1.000 V</v>
      </c>
      <c r="C2508">
        <v>3135105</v>
      </c>
      <c r="D2508">
        <v>5553</v>
      </c>
    </row>
    <row r="2509" spans="1:4" x14ac:dyDescent="0.25">
      <c r="A2509" t="str">
        <f>T("   853669")</f>
        <v xml:space="preserve">   853669</v>
      </c>
      <c r="B2509" t="str">
        <f>T("   Fiches et prises de courant, pour une tension &lt;= 1.000 V (sauf douilles pour lampes)")</f>
        <v xml:space="preserve">   Fiches et prises de courant, pour une tension &lt;= 1.000 V (sauf douilles pour lampes)</v>
      </c>
      <c r="C2509">
        <v>22369559</v>
      </c>
      <c r="D2509">
        <v>57139</v>
      </c>
    </row>
    <row r="2510" spans="1:4" x14ac:dyDescent="0.25">
      <c r="A2510" t="str">
        <f>T("   853690")</f>
        <v xml:space="preserve">   853690</v>
      </c>
      <c r="B2510" t="s">
        <v>467</v>
      </c>
      <c r="C2510">
        <v>15038187</v>
      </c>
      <c r="D2510">
        <v>34969</v>
      </c>
    </row>
    <row r="2511" spans="1:4" x14ac:dyDescent="0.25">
      <c r="A2511" t="str">
        <f>T("   853710")</f>
        <v xml:space="preserve">   853710</v>
      </c>
      <c r="B2511"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2511">
        <v>63655451</v>
      </c>
      <c r="D2511">
        <v>7697</v>
      </c>
    </row>
    <row r="2512" spans="1:4" x14ac:dyDescent="0.25">
      <c r="A2512" t="str">
        <f>T("   853720")</f>
        <v xml:space="preserve">   853720</v>
      </c>
      <c r="B2512"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2512">
        <v>118345763</v>
      </c>
      <c r="D2512">
        <v>22755</v>
      </c>
    </row>
    <row r="2513" spans="1:4" x14ac:dyDescent="0.25">
      <c r="A2513" t="str">
        <f>T("   853810")</f>
        <v xml:space="preserve">   853810</v>
      </c>
      <c r="B2513" t="str">
        <f>T("   Tableaux, panneaux, consoles, pupitres, armoires et autres supports pour articles du n° 8537, dépourvus de leurs appareils")</f>
        <v xml:space="preserve">   Tableaux, panneaux, consoles, pupitres, armoires et autres supports pour articles du n° 8537, dépourvus de leurs appareils</v>
      </c>
      <c r="C2513">
        <v>18319455</v>
      </c>
      <c r="D2513">
        <v>28162</v>
      </c>
    </row>
    <row r="2514" spans="1:4" x14ac:dyDescent="0.25">
      <c r="A2514" t="str">
        <f>T("   853890")</f>
        <v xml:space="preserve">   853890</v>
      </c>
      <c r="B2514" t="s">
        <v>468</v>
      </c>
      <c r="C2514">
        <v>261135</v>
      </c>
      <c r="D2514">
        <v>494</v>
      </c>
    </row>
    <row r="2515" spans="1:4" x14ac:dyDescent="0.25">
      <c r="A2515" t="str">
        <f>T("   853921")</f>
        <v xml:space="preserve">   853921</v>
      </c>
      <c r="B2515" t="str">
        <f>T("   Lampes et tubes halogènes, au tungstène (autres que phares et projecteurs scellés)")</f>
        <v xml:space="preserve">   Lampes et tubes halogènes, au tungstène (autres que phares et projecteurs scellés)</v>
      </c>
      <c r="C2515">
        <v>175567</v>
      </c>
      <c r="D2515">
        <v>775</v>
      </c>
    </row>
    <row r="2516" spans="1:4" x14ac:dyDescent="0.25">
      <c r="A2516" t="str">
        <f>T("   853922")</f>
        <v xml:space="preserve">   853922</v>
      </c>
      <c r="B2516" t="str">
        <f>T("   Lampes et tubes à incandescence, puissance &lt;= 200 W, tension &gt; 100 V (autres que lampes et tubes halogènes, au tungstène et lampes à rayons ultraviolets ou infrarouges)")</f>
        <v xml:space="preserve">   Lampes et tubes à incandescence, puissance &lt;= 200 W, tension &gt; 100 V (autres que lampes et tubes halogènes, au tungstène et lampes à rayons ultraviolets ou infrarouges)</v>
      </c>
      <c r="C2516">
        <v>2135000</v>
      </c>
      <c r="D2516">
        <v>1300</v>
      </c>
    </row>
    <row r="2517" spans="1:4" x14ac:dyDescent="0.25">
      <c r="A2517" t="str">
        <f>T("   853929")</f>
        <v xml:space="preserve">   853929</v>
      </c>
      <c r="B2517"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2517">
        <v>2739409</v>
      </c>
      <c r="D2517">
        <v>5274</v>
      </c>
    </row>
    <row r="2518" spans="1:4" x14ac:dyDescent="0.25">
      <c r="A2518" t="str">
        <f>T("   853931")</f>
        <v xml:space="preserve">   853931</v>
      </c>
      <c r="B2518" t="str">
        <f>T("   Lampes et tubes à décharge, fluorescents, à cathode chaude")</f>
        <v xml:space="preserve">   Lampes et tubes à décharge, fluorescents, à cathode chaude</v>
      </c>
      <c r="C2518">
        <v>38560256</v>
      </c>
      <c r="D2518">
        <v>64394</v>
      </c>
    </row>
    <row r="2519" spans="1:4" x14ac:dyDescent="0.25">
      <c r="A2519" t="str">
        <f>T("   853939")</f>
        <v xml:space="preserve">   853939</v>
      </c>
      <c r="B2519"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2519">
        <v>26592657</v>
      </c>
      <c r="D2519">
        <v>90770</v>
      </c>
    </row>
    <row r="2520" spans="1:4" x14ac:dyDescent="0.25">
      <c r="A2520" t="str">
        <f>T("   853949")</f>
        <v xml:space="preserve">   853949</v>
      </c>
      <c r="B2520" t="str">
        <f>T("   Lampes et tubes à rayons ultraviolets ou infrarouges")</f>
        <v xml:space="preserve">   Lampes et tubes à rayons ultraviolets ou infrarouges</v>
      </c>
      <c r="C2520">
        <v>12624007</v>
      </c>
      <c r="D2520">
        <v>37837</v>
      </c>
    </row>
    <row r="2521" spans="1:4" x14ac:dyDescent="0.25">
      <c r="A2521" t="str">
        <f>T("   854140")</f>
        <v xml:space="preserve">   854140</v>
      </c>
      <c r="B2521"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2521">
        <v>9105000</v>
      </c>
      <c r="D2521">
        <v>19099</v>
      </c>
    </row>
    <row r="2522" spans="1:4" x14ac:dyDescent="0.25">
      <c r="A2522" t="str">
        <f>T("   854210")</f>
        <v xml:space="preserve">   854210</v>
      </c>
      <c r="B2522" t="str">
        <f>T("   Cartes munies d'un circuit intégré électronique [cartes intelligentes], munies ou non d'une piste magnétique")</f>
        <v xml:space="preserve">   Cartes munies d'un circuit intégré électronique [cartes intelligentes], munies ou non d'une piste magnétique</v>
      </c>
      <c r="C2522">
        <v>1146461</v>
      </c>
      <c r="D2522">
        <v>8</v>
      </c>
    </row>
    <row r="2523" spans="1:4" x14ac:dyDescent="0.25">
      <c r="A2523" t="str">
        <f>T("   854389")</f>
        <v xml:space="preserve">   854389</v>
      </c>
      <c r="B2523" t="str">
        <f>T("   MACHINES ET APPAREILS ÉLECTRIQUES AYANT UNE FONCTION PROPRE, N.D.A. DANS LE CHAPITRE 85")</f>
        <v xml:space="preserve">   MACHINES ET APPAREILS ÉLECTRIQUES AYANT UNE FONCTION PROPRE, N.D.A. DANS LE CHAPITRE 85</v>
      </c>
      <c r="C2523">
        <v>21173239</v>
      </c>
      <c r="D2523">
        <v>37243</v>
      </c>
    </row>
    <row r="2524" spans="1:4" x14ac:dyDescent="0.25">
      <c r="A2524" t="str">
        <f>T("   854411")</f>
        <v xml:space="preserve">   854411</v>
      </c>
      <c r="B2524" t="str">
        <f>T("   Fils pour bobinages pour l'électricité, en cuivre, isolés")</f>
        <v xml:space="preserve">   Fils pour bobinages pour l'électricité, en cuivre, isolés</v>
      </c>
      <c r="C2524">
        <v>2000000</v>
      </c>
      <c r="D2524">
        <v>9500</v>
      </c>
    </row>
    <row r="2525" spans="1:4" x14ac:dyDescent="0.25">
      <c r="A2525" t="str">
        <f>T("   854419")</f>
        <v xml:space="preserve">   854419</v>
      </c>
      <c r="B2525" t="str">
        <f>T("   Fils pour bobinages pour l'électricité, autres qu'en cuivre, isolés")</f>
        <v xml:space="preserve">   Fils pour bobinages pour l'électricité, autres qu'en cuivre, isolés</v>
      </c>
      <c r="C2525">
        <v>9150598</v>
      </c>
      <c r="D2525">
        <v>36910</v>
      </c>
    </row>
    <row r="2526" spans="1:4" x14ac:dyDescent="0.25">
      <c r="A2526" t="str">
        <f>T("   854420")</f>
        <v xml:space="preserve">   854420</v>
      </c>
      <c r="B2526" t="str">
        <f>T("   Câbles coaxiaux et autres conducteurs électriques coaxiaux, isolés")</f>
        <v xml:space="preserve">   Câbles coaxiaux et autres conducteurs électriques coaxiaux, isolés</v>
      </c>
      <c r="C2526">
        <v>5551352</v>
      </c>
      <c r="D2526">
        <v>22264</v>
      </c>
    </row>
    <row r="2527" spans="1:4" x14ac:dyDescent="0.25">
      <c r="A2527" t="str">
        <f>T("   854430")</f>
        <v xml:space="preserve">   854430</v>
      </c>
      <c r="B2527" t="str">
        <f>T("   Jeux de fils pour bougies d'allumage et autres jeux de fils, pour moyens de transport")</f>
        <v xml:space="preserve">   Jeux de fils pour bougies d'allumage et autres jeux de fils, pour moyens de transport</v>
      </c>
      <c r="C2527">
        <v>8298028</v>
      </c>
      <c r="D2527">
        <v>9055</v>
      </c>
    </row>
    <row r="2528" spans="1:4" x14ac:dyDescent="0.25">
      <c r="A2528" t="str">
        <f>T("   854441")</f>
        <v xml:space="preserve">   854441</v>
      </c>
      <c r="B2528" t="str">
        <f>T("   Conducteurs électriques, pour tension &lt;= 80 V, isolés, avec pièces de connexion, n.d.a.")</f>
        <v xml:space="preserve">   Conducteurs électriques, pour tension &lt;= 80 V, isolés, avec pièces de connexion, n.d.a.</v>
      </c>
      <c r="C2528">
        <v>2720948</v>
      </c>
      <c r="D2528">
        <v>5817</v>
      </c>
    </row>
    <row r="2529" spans="1:4" x14ac:dyDescent="0.25">
      <c r="A2529" t="str">
        <f>T("   854449")</f>
        <v xml:space="preserve">   854449</v>
      </c>
      <c r="B2529" t="str">
        <f>T("   CONDUCTEURS ÉLECTRIQUES, POUR TENSION &lt;= 1.000 V, ISOLÉS, SANS PIÈCES DE CONNEXION, N.D.A.")</f>
        <v xml:space="preserve">   CONDUCTEURS ÉLECTRIQUES, POUR TENSION &lt;= 1.000 V, ISOLÉS, SANS PIÈCES DE CONNEXION, N.D.A.</v>
      </c>
      <c r="C2529">
        <v>120163245</v>
      </c>
      <c r="D2529">
        <v>217128</v>
      </c>
    </row>
    <row r="2530" spans="1:4" x14ac:dyDescent="0.25">
      <c r="A2530" t="str">
        <f>T("   854459")</f>
        <v xml:space="preserve">   854459</v>
      </c>
      <c r="B2530" t="str">
        <f>T("   Conducteurs électriques, pour tension &gt; 80 V mais &lt;= 1.000 V, sans pièces de connexion, n.d.a.")</f>
        <v xml:space="preserve">   Conducteurs électriques, pour tension &gt; 80 V mais &lt;= 1.000 V, sans pièces de connexion, n.d.a.</v>
      </c>
      <c r="C2530">
        <v>11179611</v>
      </c>
      <c r="D2530">
        <v>27427</v>
      </c>
    </row>
    <row r="2531" spans="1:4" x14ac:dyDescent="0.25">
      <c r="A2531" t="str">
        <f>T("   854690")</f>
        <v xml:space="preserve">   854690</v>
      </c>
      <c r="B2531" t="str">
        <f>T("   Isolateurs pour usages électriques (sauf en verre ou en céramique et sauf pièces isolantes)")</f>
        <v xml:space="preserve">   Isolateurs pour usages électriques (sauf en verre ou en céramique et sauf pièces isolantes)</v>
      </c>
      <c r="C2531">
        <v>6000000</v>
      </c>
      <c r="D2531">
        <v>14160</v>
      </c>
    </row>
    <row r="2532" spans="1:4" x14ac:dyDescent="0.25">
      <c r="A2532" t="str">
        <f>T("   854710")</f>
        <v xml:space="preserve">   854710</v>
      </c>
      <c r="B2532" t="str">
        <f>T("   Pièces isolantes en céramique, pour usages électriques")</f>
        <v xml:space="preserve">   Pièces isolantes en céramique, pour usages électriques</v>
      </c>
      <c r="C2532">
        <v>181194</v>
      </c>
      <c r="D2532">
        <v>185</v>
      </c>
    </row>
    <row r="2533" spans="1:4" x14ac:dyDescent="0.25">
      <c r="A2533" t="str">
        <f>T("   854790")</f>
        <v xml:space="preserve">   854790</v>
      </c>
      <c r="B2533"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2533">
        <v>24371712</v>
      </c>
      <c r="D2533">
        <v>64681</v>
      </c>
    </row>
    <row r="2534" spans="1:4" x14ac:dyDescent="0.25">
      <c r="A2534" t="str">
        <f>T("   870110")</f>
        <v xml:space="preserve">   870110</v>
      </c>
      <c r="B2534"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2534">
        <v>38854917</v>
      </c>
      <c r="D2534">
        <v>19701</v>
      </c>
    </row>
    <row r="2535" spans="1:4" x14ac:dyDescent="0.25">
      <c r="A2535" t="str">
        <f>T("   870120")</f>
        <v xml:space="preserve">   870120</v>
      </c>
      <c r="B2535" t="str">
        <f>T("   Tracteurs routiers pour semi-remorques")</f>
        <v xml:space="preserve">   Tracteurs routiers pour semi-remorques</v>
      </c>
      <c r="C2535">
        <v>1625013</v>
      </c>
      <c r="D2535">
        <v>6761</v>
      </c>
    </row>
    <row r="2536" spans="1:4" x14ac:dyDescent="0.25">
      <c r="A2536" t="str">
        <f>T("   870130")</f>
        <v xml:space="preserve">   870130</v>
      </c>
      <c r="B2536" t="str">
        <f>T("   Tracteurs à chenilles (sauf motoculteurs à chenille)")</f>
        <v xml:space="preserve">   Tracteurs à chenilles (sauf motoculteurs à chenille)</v>
      </c>
      <c r="C2536">
        <v>45355770</v>
      </c>
      <c r="D2536">
        <v>9275</v>
      </c>
    </row>
    <row r="2537" spans="1:4" x14ac:dyDescent="0.25">
      <c r="A2537" t="str">
        <f>T("   870190")</f>
        <v xml:space="preserve">   870190</v>
      </c>
      <c r="B2537"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2537">
        <v>31033532</v>
      </c>
      <c r="D2537">
        <v>13005</v>
      </c>
    </row>
    <row r="2538" spans="1:4" x14ac:dyDescent="0.25">
      <c r="A2538" t="str">
        <f>T("   870210")</f>
        <v xml:space="preserve">   870210</v>
      </c>
      <c r="B2538" t="s">
        <v>469</v>
      </c>
      <c r="C2538">
        <v>46356981</v>
      </c>
      <c r="D2538">
        <v>18454</v>
      </c>
    </row>
    <row r="2539" spans="1:4" x14ac:dyDescent="0.25">
      <c r="A2539" t="str">
        <f>T("   870290")</f>
        <v xml:space="preserve">   870290</v>
      </c>
      <c r="B2539" t="s">
        <v>470</v>
      </c>
      <c r="C2539">
        <v>450240815</v>
      </c>
      <c r="D2539">
        <v>134290</v>
      </c>
    </row>
    <row r="2540" spans="1:4" x14ac:dyDescent="0.25">
      <c r="A2540" t="str">
        <f>T("   870322")</f>
        <v xml:space="preserve">   870322</v>
      </c>
      <c r="B2540" t="s">
        <v>472</v>
      </c>
      <c r="C2540">
        <v>57994760</v>
      </c>
      <c r="D2540">
        <v>21300</v>
      </c>
    </row>
    <row r="2541" spans="1:4" x14ac:dyDescent="0.25">
      <c r="A2541" t="str">
        <f>T("   870323")</f>
        <v xml:space="preserve">   870323</v>
      </c>
      <c r="B2541" t="s">
        <v>473</v>
      </c>
      <c r="C2541">
        <v>66955146</v>
      </c>
      <c r="D2541">
        <v>19871</v>
      </c>
    </row>
    <row r="2542" spans="1:4" x14ac:dyDescent="0.25">
      <c r="A2542" t="str">
        <f>T("   870332")</f>
        <v xml:space="preserve">   870332</v>
      </c>
      <c r="B2542" t="s">
        <v>476</v>
      </c>
      <c r="C2542">
        <v>7789437</v>
      </c>
      <c r="D2542">
        <v>1720</v>
      </c>
    </row>
    <row r="2543" spans="1:4" x14ac:dyDescent="0.25">
      <c r="A2543" t="str">
        <f>T("   870333")</f>
        <v xml:space="preserve">   870333</v>
      </c>
      <c r="B2543" t="s">
        <v>477</v>
      </c>
      <c r="C2543">
        <v>15926883</v>
      </c>
      <c r="D2543">
        <v>3546</v>
      </c>
    </row>
    <row r="2544" spans="1:4" x14ac:dyDescent="0.25">
      <c r="A2544" t="str">
        <f>T("   870421")</f>
        <v xml:space="preserve">   870421</v>
      </c>
      <c r="B2544" t="s">
        <v>478</v>
      </c>
      <c r="C2544">
        <v>224225555</v>
      </c>
      <c r="D2544">
        <v>75183</v>
      </c>
    </row>
    <row r="2545" spans="1:4" x14ac:dyDescent="0.25">
      <c r="A2545" t="str">
        <f>T("   870422")</f>
        <v xml:space="preserve">   870422</v>
      </c>
      <c r="B2545" t="s">
        <v>479</v>
      </c>
      <c r="C2545">
        <v>37767682</v>
      </c>
      <c r="D2545">
        <v>48760</v>
      </c>
    </row>
    <row r="2546" spans="1:4" x14ac:dyDescent="0.25">
      <c r="A2546" t="str">
        <f>T("   870423")</f>
        <v xml:space="preserve">   870423</v>
      </c>
      <c r="B2546" t="s">
        <v>480</v>
      </c>
      <c r="C2546">
        <v>264191578</v>
      </c>
      <c r="D2546">
        <v>278340</v>
      </c>
    </row>
    <row r="2547" spans="1:4" x14ac:dyDescent="0.25">
      <c r="A2547" t="str">
        <f>T("   870431")</f>
        <v xml:space="preserve">   870431</v>
      </c>
      <c r="B2547" t="s">
        <v>481</v>
      </c>
      <c r="C2547">
        <v>16653578</v>
      </c>
      <c r="D2547">
        <v>8200</v>
      </c>
    </row>
    <row r="2548" spans="1:4" x14ac:dyDescent="0.25">
      <c r="A2548" t="str">
        <f>T("   870432")</f>
        <v xml:space="preserve">   870432</v>
      </c>
      <c r="B2548" t="s">
        <v>482</v>
      </c>
      <c r="C2548">
        <v>20087161</v>
      </c>
      <c r="D2548">
        <v>8700</v>
      </c>
    </row>
    <row r="2549" spans="1:4" x14ac:dyDescent="0.25">
      <c r="A2549" t="str">
        <f>T("   870510")</f>
        <v xml:space="preserve">   870510</v>
      </c>
      <c r="B2549" t="str">
        <f>T("   Camions-grues (sauf dépanneuses)")</f>
        <v xml:space="preserve">   Camions-grues (sauf dépanneuses)</v>
      </c>
      <c r="C2549">
        <v>16000655</v>
      </c>
      <c r="D2549">
        <v>19400</v>
      </c>
    </row>
    <row r="2550" spans="1:4" x14ac:dyDescent="0.25">
      <c r="A2550" t="str">
        <f>T("   870810")</f>
        <v xml:space="preserve">   870810</v>
      </c>
      <c r="B2550"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2550">
        <v>11349271</v>
      </c>
      <c r="D2550">
        <v>10480</v>
      </c>
    </row>
    <row r="2551" spans="1:4" x14ac:dyDescent="0.25">
      <c r="A2551" t="str">
        <f>T("   870829")</f>
        <v xml:space="preserve">   870829</v>
      </c>
      <c r="B2551" t="s">
        <v>485</v>
      </c>
      <c r="C2551">
        <v>18175993</v>
      </c>
      <c r="D2551">
        <v>33220</v>
      </c>
    </row>
    <row r="2552" spans="1:4" x14ac:dyDescent="0.25">
      <c r="A2552" t="str">
        <f>T("   870860")</f>
        <v xml:space="preserve">   870860</v>
      </c>
      <c r="B2552" t="str">
        <f>T("   ESSIEUX PORTEURS ET LEURS PARTIES, POUR TRACTEURS, VÉHICULES POUR LE TRANSPORT DE &gt;= 10 PERSONNES, CHAUFFEUR INCLUS, VOITURES DE TOURISME, VÉHICULES POUR LE TRANSPORT DE MARCHANDISES ET VÉHICULES À USAGES SPÉCIAUX N.D.A.")</f>
        <v xml:space="preserve">   ESSIEUX PORTEURS ET LEURS PARTIES, POUR TRACTEURS, VÉHICULES POUR LE TRANSPORT DE &gt;= 10 PERSONNES, CHAUFFEUR INCLUS, VOITURES DE TOURISME, VÉHICULES POUR LE TRANSPORT DE MARCHANDISES ET VÉHICULES À USAGES SPÉCIAUX N.D.A.</v>
      </c>
      <c r="C2552">
        <v>1500000</v>
      </c>
      <c r="D2552">
        <v>1350</v>
      </c>
    </row>
    <row r="2553" spans="1:4" x14ac:dyDescent="0.25">
      <c r="A2553" t="str">
        <f>T("   870870")</f>
        <v xml:space="preserve">   870870</v>
      </c>
      <c r="B2553"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2553">
        <v>598229</v>
      </c>
      <c r="D2553">
        <v>880</v>
      </c>
    </row>
    <row r="2554" spans="1:4" x14ac:dyDescent="0.25">
      <c r="A2554" t="str">
        <f>T("   870880")</f>
        <v xml:space="preserve">   870880</v>
      </c>
      <c r="B2554" t="s">
        <v>487</v>
      </c>
      <c r="C2554">
        <v>10801194</v>
      </c>
      <c r="D2554">
        <v>12500</v>
      </c>
    </row>
    <row r="2555" spans="1:4" x14ac:dyDescent="0.25">
      <c r="A2555" t="str">
        <f>T("   870894")</f>
        <v xml:space="preserve">   870894</v>
      </c>
      <c r="B2555" t="s">
        <v>488</v>
      </c>
      <c r="C2555">
        <v>24411857</v>
      </c>
      <c r="D2555">
        <v>4491</v>
      </c>
    </row>
    <row r="2556" spans="1:4" x14ac:dyDescent="0.25">
      <c r="A2556" t="str">
        <f>T("   870899")</f>
        <v xml:space="preserve">   870899</v>
      </c>
      <c r="B255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2556">
        <v>100724642</v>
      </c>
      <c r="D2556">
        <v>105292</v>
      </c>
    </row>
    <row r="2557" spans="1:4" x14ac:dyDescent="0.25">
      <c r="A2557" t="str">
        <f>T("   870919")</f>
        <v xml:space="preserve">   870919</v>
      </c>
      <c r="B2557"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2557">
        <v>102938350</v>
      </c>
      <c r="D2557">
        <v>227417</v>
      </c>
    </row>
    <row r="2558" spans="1:4" x14ac:dyDescent="0.25">
      <c r="A2558" t="str">
        <f>T("   871110")</f>
        <v xml:space="preserve">   871110</v>
      </c>
      <c r="B2558" t="str">
        <f>T("   Cyclomoteurs, à moteur à piston alternatif, cylindrée &lt;= 50 cm³, y.c. cycles à moteur auxiliaire")</f>
        <v xml:space="preserve">   Cyclomoteurs, à moteur à piston alternatif, cylindrée &lt;= 50 cm³, y.c. cycles à moteur auxiliaire</v>
      </c>
      <c r="C2558">
        <v>41541255</v>
      </c>
      <c r="D2558">
        <v>53560</v>
      </c>
    </row>
    <row r="2559" spans="1:4" x14ac:dyDescent="0.25">
      <c r="A2559" t="str">
        <f>T("   871120")</f>
        <v xml:space="preserve">   871120</v>
      </c>
      <c r="B2559" t="str">
        <f>T("   Motocycles à moteur à piston alternatif, cylindrée &gt; 50 cm³ mais &lt;= 250 cm³")</f>
        <v xml:space="preserve">   Motocycles à moteur à piston alternatif, cylindrée &gt; 50 cm³ mais &lt;= 250 cm³</v>
      </c>
      <c r="C2559">
        <v>17688200431</v>
      </c>
      <c r="D2559">
        <v>10106031.1</v>
      </c>
    </row>
    <row r="2560" spans="1:4" x14ac:dyDescent="0.25">
      <c r="A2560" t="str">
        <f>T("   871130")</f>
        <v xml:space="preserve">   871130</v>
      </c>
      <c r="B2560" t="str">
        <f>T("   Motocycles à moteur à piston alternatif, cylindrée &gt; 250 cm³ mais &lt;= 500 cm³")</f>
        <v xml:space="preserve">   Motocycles à moteur à piston alternatif, cylindrée &gt; 250 cm³ mais &lt;= 500 cm³</v>
      </c>
      <c r="C2560">
        <v>313177204</v>
      </c>
      <c r="D2560">
        <v>187937</v>
      </c>
    </row>
    <row r="2561" spans="1:4" x14ac:dyDescent="0.25">
      <c r="A2561" t="str">
        <f>T("   871140")</f>
        <v xml:space="preserve">   871140</v>
      </c>
      <c r="B2561" t="str">
        <f>T("   Motocycles à moteur à piston alternatif, cylindrée &gt; 500 cm³ mais &lt;= 800 cm³")</f>
        <v xml:space="preserve">   Motocycles à moteur à piston alternatif, cylindrée &gt; 500 cm³ mais &lt;= 800 cm³</v>
      </c>
      <c r="C2561">
        <v>102226107</v>
      </c>
      <c r="D2561">
        <v>63711</v>
      </c>
    </row>
    <row r="2562" spans="1:4" x14ac:dyDescent="0.25">
      <c r="A2562" t="str">
        <f>T("   871190")</f>
        <v xml:space="preserve">   871190</v>
      </c>
      <c r="B2562" t="str">
        <f>T("   Side-cars")</f>
        <v xml:space="preserve">   Side-cars</v>
      </c>
      <c r="C2562">
        <v>15087000</v>
      </c>
      <c r="D2562">
        <v>14015</v>
      </c>
    </row>
    <row r="2563" spans="1:4" x14ac:dyDescent="0.25">
      <c r="A2563" t="str">
        <f>T("   871200")</f>
        <v xml:space="preserve">   871200</v>
      </c>
      <c r="B2563" t="str">
        <f>T("   BICYCLETTES ET AUTRES CYCLES, -Y.C. LES TRIPORTEURS-, SANS MOTEUR")</f>
        <v xml:space="preserve">   BICYCLETTES ET AUTRES CYCLES, -Y.C. LES TRIPORTEURS-, SANS MOTEUR</v>
      </c>
      <c r="C2563">
        <v>25914813</v>
      </c>
      <c r="D2563">
        <v>35648</v>
      </c>
    </row>
    <row r="2564" spans="1:4" x14ac:dyDescent="0.25">
      <c r="A2564" t="str">
        <f>T("   871390")</f>
        <v xml:space="preserve">   871390</v>
      </c>
      <c r="B2564" t="str">
        <f>T("   Fauteuils roulants et autres véhicules pour invalides, avec mécanisme de propulsion (sauf automobiles et bicyclettes munies de dispositifs spéciaux)")</f>
        <v xml:space="preserve">   Fauteuils roulants et autres véhicules pour invalides, avec mécanisme de propulsion (sauf automobiles et bicyclettes munies de dispositifs spéciaux)</v>
      </c>
      <c r="C2564">
        <v>15341597</v>
      </c>
      <c r="D2564">
        <v>7081</v>
      </c>
    </row>
    <row r="2565" spans="1:4" x14ac:dyDescent="0.25">
      <c r="A2565" t="str">
        <f>T("   871411")</f>
        <v xml:space="preserve">   871411</v>
      </c>
      <c r="B2565" t="str">
        <f>T("   Selles de motocycles, y.c. de cyclomoteurs")</f>
        <v xml:space="preserve">   Selles de motocycles, y.c. de cyclomoteurs</v>
      </c>
      <c r="C2565">
        <v>39176073</v>
      </c>
      <c r="D2565">
        <v>209912</v>
      </c>
    </row>
    <row r="2566" spans="1:4" x14ac:dyDescent="0.25">
      <c r="A2566" t="str">
        <f>T("   871419")</f>
        <v xml:space="preserve">   871419</v>
      </c>
      <c r="B2566" t="str">
        <f>T("   Parties et accessoires de motocycles, y.c. de cyclomoteurs, n.d.a.")</f>
        <v xml:space="preserve">   Parties et accessoires de motocycles, y.c. de cyclomoteurs, n.d.a.</v>
      </c>
      <c r="C2566">
        <v>618091979</v>
      </c>
      <c r="D2566">
        <v>1032397.95</v>
      </c>
    </row>
    <row r="2567" spans="1:4" x14ac:dyDescent="0.25">
      <c r="A2567" t="str">
        <f>T("   871493")</f>
        <v xml:space="preserve">   871493</v>
      </c>
      <c r="B2567" t="str">
        <f>T("   Moyeux (autres que les moyeux à frein) et pignons de roues libres, de bicyclettes")</f>
        <v xml:space="preserve">   Moyeux (autres que les moyeux à frein) et pignons de roues libres, de bicyclettes</v>
      </c>
      <c r="C2567">
        <v>161700</v>
      </c>
      <c r="D2567">
        <v>3800</v>
      </c>
    </row>
    <row r="2568" spans="1:4" x14ac:dyDescent="0.25">
      <c r="A2568" t="str">
        <f>T("   871499")</f>
        <v xml:space="preserve">   871499</v>
      </c>
      <c r="B2568" t="str">
        <f>T("   Parties et accessoires, de bicyclettes, n.d.a.")</f>
        <v xml:space="preserve">   Parties et accessoires, de bicyclettes, n.d.a.</v>
      </c>
      <c r="C2568">
        <v>4823387</v>
      </c>
      <c r="D2568">
        <v>37322</v>
      </c>
    </row>
    <row r="2569" spans="1:4" x14ac:dyDescent="0.25">
      <c r="A2569" t="str">
        <f>T("   871500")</f>
        <v xml:space="preserve">   871500</v>
      </c>
      <c r="B2569" t="str">
        <f>T("   Landaus, poussettes et voitures simil., pour le transport des enfants, et leurs parties, n.d.a.")</f>
        <v xml:space="preserve">   Landaus, poussettes et voitures simil., pour le transport des enfants, et leurs parties, n.d.a.</v>
      </c>
      <c r="C2569">
        <v>4426081</v>
      </c>
      <c r="D2569">
        <v>3691</v>
      </c>
    </row>
    <row r="2570" spans="1:4" x14ac:dyDescent="0.25">
      <c r="A2570" t="str">
        <f>T("   871639")</f>
        <v xml:space="preserve">   871639</v>
      </c>
      <c r="B2570"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2570">
        <v>79187490</v>
      </c>
      <c r="D2570">
        <v>92500</v>
      </c>
    </row>
    <row r="2571" spans="1:4" x14ac:dyDescent="0.25">
      <c r="A2571" t="str">
        <f>T("   871680")</f>
        <v xml:space="preserve">   871680</v>
      </c>
      <c r="B2571" t="str">
        <f>T("   Véhicules dirigés à la main et autres véhicules non automobiles, autres que remorques et semi-remorques")</f>
        <v xml:space="preserve">   Véhicules dirigés à la main et autres véhicules non automobiles, autres que remorques et semi-remorques</v>
      </c>
      <c r="C2571">
        <v>8355188</v>
      </c>
      <c r="D2571">
        <v>30069</v>
      </c>
    </row>
    <row r="2572" spans="1:4" x14ac:dyDescent="0.25">
      <c r="A2572" t="str">
        <f>T("   900410")</f>
        <v xml:space="preserve">   900410</v>
      </c>
      <c r="B2572" t="str">
        <f>T("   Lunettes solaires")</f>
        <v xml:space="preserve">   Lunettes solaires</v>
      </c>
      <c r="C2572">
        <v>1394928</v>
      </c>
      <c r="D2572">
        <v>1000</v>
      </c>
    </row>
    <row r="2573" spans="1:4" x14ac:dyDescent="0.25">
      <c r="A2573" t="str">
        <f>T("   900490")</f>
        <v xml:space="preserve">   900490</v>
      </c>
      <c r="B2573"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2573">
        <v>336369</v>
      </c>
      <c r="D2573">
        <v>162</v>
      </c>
    </row>
    <row r="2574" spans="1:4" x14ac:dyDescent="0.25">
      <c r="A2574" t="str">
        <f>T("   900691")</f>
        <v xml:space="preserve">   900691</v>
      </c>
      <c r="B2574" t="str">
        <f>T("   Parties et accessoires d'appareils photographiques, n.d.a.")</f>
        <v xml:space="preserve">   Parties et accessoires d'appareils photographiques, n.d.a.</v>
      </c>
      <c r="C2574">
        <v>10000200</v>
      </c>
      <c r="D2574">
        <v>3537</v>
      </c>
    </row>
    <row r="2575" spans="1:4" x14ac:dyDescent="0.25">
      <c r="A2575" t="str">
        <f>T("   900699")</f>
        <v xml:space="preserve">   900699</v>
      </c>
      <c r="B2575" t="str">
        <f>T("   Parties et accessoires des appareils et dispositifs pour la production de la lumière-éclair en photographie, n.d.a.")</f>
        <v xml:space="preserve">   Parties et accessoires des appareils et dispositifs pour la production de la lumière-éclair en photographie, n.d.a.</v>
      </c>
      <c r="C2575">
        <v>840300</v>
      </c>
      <c r="D2575">
        <v>7784</v>
      </c>
    </row>
    <row r="2576" spans="1:4" x14ac:dyDescent="0.25">
      <c r="A2576" t="str">
        <f>T("   900719")</f>
        <v xml:space="preserve">   900719</v>
      </c>
      <c r="B2576" t="str">
        <f>T("   Caméras cinématographiques, pour films d'une largeur &gt;= 16 mm (à l'excl. des films double-8 mm)")</f>
        <v xml:space="preserve">   Caméras cinématographiques, pour films d'une largeur &gt;= 16 mm (à l'excl. des films double-8 mm)</v>
      </c>
      <c r="C2576">
        <v>427896</v>
      </c>
      <c r="D2576">
        <v>58</v>
      </c>
    </row>
    <row r="2577" spans="1:4" x14ac:dyDescent="0.25">
      <c r="A2577" t="str">
        <f>T("   900911")</f>
        <v xml:space="preserve">   900911</v>
      </c>
      <c r="B2577"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2577">
        <v>371790</v>
      </c>
      <c r="D2577">
        <v>2058</v>
      </c>
    </row>
    <row r="2578" spans="1:4" x14ac:dyDescent="0.25">
      <c r="A2578" t="str">
        <f>T("   901050")</f>
        <v xml:space="preserve">   901050</v>
      </c>
      <c r="B2578" t="str">
        <f>T("   Appareils et matériel pour laboratoires photographiques ou cinématographiques, n.d.a.; négatoscopes")</f>
        <v xml:space="preserve">   Appareils et matériel pour laboratoires photographiques ou cinématographiques, n.d.a.; négatoscopes</v>
      </c>
      <c r="C2578">
        <v>1197986</v>
      </c>
      <c r="D2578">
        <v>800</v>
      </c>
    </row>
    <row r="2579" spans="1:4" x14ac:dyDescent="0.25">
      <c r="A2579" t="str">
        <f>T("   901210")</f>
        <v xml:space="preserve">   901210</v>
      </c>
      <c r="B2579" t="str">
        <f>T("   Microscopes électroniques, microscopes protoniques et diffractographes")</f>
        <v xml:space="preserve">   Microscopes électroniques, microscopes protoniques et diffractographes</v>
      </c>
      <c r="C2579">
        <v>301636</v>
      </c>
      <c r="D2579">
        <v>292</v>
      </c>
    </row>
    <row r="2580" spans="1:4" x14ac:dyDescent="0.25">
      <c r="A2580" t="str">
        <f>T("   901720")</f>
        <v xml:space="preserve">   901720</v>
      </c>
      <c r="B2580" t="str">
        <f>T("   Instruments de dessin, de traçage et de calcul (sauf tables et machines à dessiner ainsi que calculatrices)")</f>
        <v xml:space="preserve">   Instruments de dessin, de traçage et de calcul (sauf tables et machines à dessiner ainsi que calculatrices)</v>
      </c>
      <c r="C2580">
        <v>84450575</v>
      </c>
      <c r="D2580">
        <v>81408</v>
      </c>
    </row>
    <row r="2581" spans="1:4" x14ac:dyDescent="0.25">
      <c r="A2581" t="str">
        <f>T("   901780")</f>
        <v xml:space="preserve">   901780</v>
      </c>
      <c r="B2581" t="str">
        <f>T("   Instruments de mesure de longueurs, pour emploi à la main, n.d.a.")</f>
        <v xml:space="preserve">   Instruments de mesure de longueurs, pour emploi à la main, n.d.a.</v>
      </c>
      <c r="C2581">
        <v>18397949</v>
      </c>
      <c r="D2581">
        <v>71318.5</v>
      </c>
    </row>
    <row r="2582" spans="1:4" x14ac:dyDescent="0.25">
      <c r="A2582" t="str">
        <f>T("   901790")</f>
        <v xml:space="preserve">   901790</v>
      </c>
      <c r="B2582" t="str">
        <f>T("   Parties et accessoires des instruments de dessin, de traçage ou de calcul et de mesure de longueurs pour emploi à la main, n.d.a.")</f>
        <v xml:space="preserve">   Parties et accessoires des instruments de dessin, de traçage ou de calcul et de mesure de longueurs pour emploi à la main, n.d.a.</v>
      </c>
      <c r="C2582">
        <v>4740610</v>
      </c>
      <c r="D2582">
        <v>3000</v>
      </c>
    </row>
    <row r="2583" spans="1:4" x14ac:dyDescent="0.25">
      <c r="A2583" t="str">
        <f>T("   901812")</f>
        <v xml:space="preserve">   901812</v>
      </c>
      <c r="B2583" t="str">
        <f>T("   Appareils de diagnostic par balayage ultrasonique [scanners]")</f>
        <v xml:space="preserve">   Appareils de diagnostic par balayage ultrasonique [scanners]</v>
      </c>
      <c r="C2583">
        <v>11633826</v>
      </c>
      <c r="D2583">
        <v>915.5</v>
      </c>
    </row>
    <row r="2584" spans="1:4" x14ac:dyDescent="0.25">
      <c r="A2584" t="str">
        <f>T("   901831")</f>
        <v xml:space="preserve">   901831</v>
      </c>
      <c r="B2584" t="str">
        <f>T("   Seringues, avec ou sans aiguilles, pour la médecine")</f>
        <v xml:space="preserve">   Seringues, avec ou sans aiguilles, pour la médecine</v>
      </c>
      <c r="C2584">
        <v>15001966</v>
      </c>
      <c r="D2584">
        <v>12728</v>
      </c>
    </row>
    <row r="2585" spans="1:4" x14ac:dyDescent="0.25">
      <c r="A2585" t="str">
        <f>T("   901832")</f>
        <v xml:space="preserve">   901832</v>
      </c>
      <c r="B2585" t="str">
        <f>T("   Aiguilles tubulaires en métal et aiguilles à sutures, pour la médecine")</f>
        <v xml:space="preserve">   Aiguilles tubulaires en métal et aiguilles à sutures, pour la médecine</v>
      </c>
      <c r="C2585">
        <v>1147674</v>
      </c>
      <c r="D2585">
        <v>321</v>
      </c>
    </row>
    <row r="2586" spans="1:4" x14ac:dyDescent="0.25">
      <c r="A2586" t="str">
        <f>T("   901839")</f>
        <v xml:space="preserve">   901839</v>
      </c>
      <c r="B2586"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2586">
        <v>2437975</v>
      </c>
      <c r="D2586">
        <v>963</v>
      </c>
    </row>
    <row r="2587" spans="1:4" x14ac:dyDescent="0.25">
      <c r="A2587" t="str">
        <f>T("   901890")</f>
        <v xml:space="preserve">   901890</v>
      </c>
      <c r="B2587" t="str">
        <f>T("   Instruments et appareils pour la médecine, la chirurgie ou l'art vétérinaire, n.d.a.")</f>
        <v xml:space="preserve">   Instruments et appareils pour la médecine, la chirurgie ou l'art vétérinaire, n.d.a.</v>
      </c>
      <c r="C2587">
        <v>10679181</v>
      </c>
      <c r="D2587">
        <v>18484</v>
      </c>
    </row>
    <row r="2588" spans="1:4" x14ac:dyDescent="0.25">
      <c r="A2588" t="str">
        <f>T("   901910")</f>
        <v xml:space="preserve">   901910</v>
      </c>
      <c r="B2588" t="str">
        <f>T("   Appareils de mécanothérapie, appareils de massage et appareils de psychotechnie")</f>
        <v xml:space="preserve">   Appareils de mécanothérapie, appareils de massage et appareils de psychotechnie</v>
      </c>
      <c r="C2588">
        <v>4268646</v>
      </c>
      <c r="D2588">
        <v>7489</v>
      </c>
    </row>
    <row r="2589" spans="1:4" x14ac:dyDescent="0.25">
      <c r="A2589" t="str">
        <f>T("   902190")</f>
        <v xml:space="preserve">   902190</v>
      </c>
      <c r="B2589" t="s">
        <v>495</v>
      </c>
      <c r="C2589">
        <v>52249</v>
      </c>
      <c r="D2589">
        <v>198</v>
      </c>
    </row>
    <row r="2590" spans="1:4" x14ac:dyDescent="0.25">
      <c r="A2590" t="str">
        <f>T("   902300")</f>
        <v xml:space="preserve">   902300</v>
      </c>
      <c r="B2590" t="s">
        <v>497</v>
      </c>
      <c r="C2590">
        <v>208925</v>
      </c>
      <c r="D2590">
        <v>700</v>
      </c>
    </row>
    <row r="2591" spans="1:4" x14ac:dyDescent="0.25">
      <c r="A2591" t="str">
        <f>T("   902490")</f>
        <v xml:space="preserve">   902490</v>
      </c>
      <c r="B2591" t="str">
        <f>T("   Parties et accessoires des machines et appareils d'essais des propriétés mécaniques des matériaux, n.d.a.")</f>
        <v xml:space="preserve">   Parties et accessoires des machines et appareils d'essais des propriétés mécaniques des matériaux, n.d.a.</v>
      </c>
      <c r="C2591">
        <v>502367</v>
      </c>
      <c r="D2591">
        <v>9140</v>
      </c>
    </row>
    <row r="2592" spans="1:4" x14ac:dyDescent="0.25">
      <c r="A2592" t="str">
        <f>T("   902610")</f>
        <v xml:space="preserve">   902610</v>
      </c>
      <c r="B2592"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2592">
        <v>6838151</v>
      </c>
      <c r="D2592">
        <v>7392</v>
      </c>
    </row>
    <row r="2593" spans="1:4" x14ac:dyDescent="0.25">
      <c r="A2593" t="str">
        <f>T("   902710")</f>
        <v xml:space="preserve">   902710</v>
      </c>
      <c r="B2593" t="str">
        <f>T("   Analyseurs de gaz ou de fumées")</f>
        <v xml:space="preserve">   Analyseurs de gaz ou de fumées</v>
      </c>
      <c r="C2593">
        <v>1210359</v>
      </c>
      <c r="D2593">
        <v>148</v>
      </c>
    </row>
    <row r="2594" spans="1:4" x14ac:dyDescent="0.25">
      <c r="A2594" t="str">
        <f>T("   902730")</f>
        <v xml:space="preserve">   902730</v>
      </c>
      <c r="B2594" t="str">
        <f>T("   Spectromètres, spectrophotomètres et spectrographes utilisant les rayonnements optiques: UV, visibles, IR")</f>
        <v xml:space="preserve">   Spectromètres, spectrophotomètres et spectrographes utilisant les rayonnements optiques: UV, visibles, IR</v>
      </c>
      <c r="C2594">
        <v>2490351</v>
      </c>
      <c r="D2594">
        <v>35</v>
      </c>
    </row>
    <row r="2595" spans="1:4" x14ac:dyDescent="0.25">
      <c r="A2595" t="str">
        <f>T("   902780")</f>
        <v xml:space="preserve">   902780</v>
      </c>
      <c r="B2595"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2595">
        <v>311578</v>
      </c>
      <c r="D2595">
        <v>22.8</v>
      </c>
    </row>
    <row r="2596" spans="1:4" x14ac:dyDescent="0.25">
      <c r="A2596" t="str">
        <f>T("   902820")</f>
        <v xml:space="preserve">   902820</v>
      </c>
      <c r="B2596" t="str">
        <f>T("   Compteurs de liquides, y.c. les compteurs pour leur étalonnage")</f>
        <v xml:space="preserve">   Compteurs de liquides, y.c. les compteurs pour leur étalonnage</v>
      </c>
      <c r="C2596">
        <v>787153</v>
      </c>
      <c r="D2596">
        <v>1650</v>
      </c>
    </row>
    <row r="2597" spans="1:4" x14ac:dyDescent="0.25">
      <c r="A2597" t="str">
        <f>T("   902830")</f>
        <v xml:space="preserve">   902830</v>
      </c>
      <c r="B2597" t="str">
        <f>T("   Compteurs d'électricité, y.c. les compteurs pour leur étalonnage")</f>
        <v xml:space="preserve">   Compteurs d'électricité, y.c. les compteurs pour leur étalonnage</v>
      </c>
      <c r="C2597">
        <v>12591290</v>
      </c>
      <c r="D2597">
        <v>13137</v>
      </c>
    </row>
    <row r="2598" spans="1:4" x14ac:dyDescent="0.25">
      <c r="A2598" t="str">
        <f>T("   902910")</f>
        <v xml:space="preserve">   902910</v>
      </c>
      <c r="B2598"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2598">
        <v>327396</v>
      </c>
      <c r="D2598">
        <v>429</v>
      </c>
    </row>
    <row r="2599" spans="1:4" x14ac:dyDescent="0.25">
      <c r="A2599" t="str">
        <f>T("   903039")</f>
        <v xml:space="preserve">   903039</v>
      </c>
      <c r="B2599"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2599">
        <v>126071</v>
      </c>
      <c r="D2599">
        <v>100</v>
      </c>
    </row>
    <row r="2600" spans="1:4" x14ac:dyDescent="0.25">
      <c r="A2600" t="str">
        <f>T("   903180")</f>
        <v xml:space="preserve">   903180</v>
      </c>
      <c r="B2600" t="str">
        <f>T("   INSTRUMENTS, APPAREILS ET MACHINES DE MESURE OU DE CONTRÔLE, NON-OPTIQUES, N.D.A. DANS LE PRÉSENT CHAPITRE")</f>
        <v xml:space="preserve">   INSTRUMENTS, APPAREILS ET MACHINES DE MESURE OU DE CONTRÔLE, NON-OPTIQUES, N.D.A. DANS LE PRÉSENT CHAPITRE</v>
      </c>
      <c r="C2600">
        <v>221316</v>
      </c>
      <c r="D2600">
        <v>253</v>
      </c>
    </row>
    <row r="2601" spans="1:4" x14ac:dyDescent="0.25">
      <c r="A2601" t="str">
        <f>T("   903289")</f>
        <v xml:space="preserve">   903289</v>
      </c>
      <c r="B2601" t="s">
        <v>501</v>
      </c>
      <c r="C2601">
        <v>23492125</v>
      </c>
      <c r="D2601">
        <v>60180</v>
      </c>
    </row>
    <row r="2602" spans="1:4" x14ac:dyDescent="0.25">
      <c r="A2602" t="str">
        <f>T("   903300")</f>
        <v xml:space="preserve">   903300</v>
      </c>
      <c r="B2602" t="str">
        <f>T("   Parties et accessoires pour machines, appareils, instruments ou articles du chapitre 90, non dénommés ni compris dans le présent chapitre ou ailleurs")</f>
        <v xml:space="preserve">   Parties et accessoires pour machines, appareils, instruments ou articles du chapitre 90, non dénommés ni compris dans le présent chapitre ou ailleurs</v>
      </c>
      <c r="C2602">
        <v>425184</v>
      </c>
      <c r="D2602">
        <v>50</v>
      </c>
    </row>
    <row r="2603" spans="1:4" x14ac:dyDescent="0.25">
      <c r="A2603" t="str">
        <f>T("   910199")</f>
        <v xml:space="preserve">   910199</v>
      </c>
      <c r="B2603" t="str">
        <f>T("   Montres de poche et simil., à remontage automatique ou manuel, y.c. les compteurs de temps du même type, avec boîte en métaux précieux ou en plaqués ou doublés de métaux précieux (sauf celles dont le fond est en acier et montres-bracelets)")</f>
        <v xml:space="preserve">   Montres de poche et simil., à remontage automatique ou manuel, y.c. les compteurs de temps du même type, avec boîte en métaux précieux ou en plaqués ou doublés de métaux précieux (sauf celles dont le fond est en acier et montres-bracelets)</v>
      </c>
      <c r="C2603">
        <v>1500000</v>
      </c>
      <c r="D2603">
        <v>2010</v>
      </c>
    </row>
    <row r="2604" spans="1:4" x14ac:dyDescent="0.25">
      <c r="A2604" t="str">
        <f>T("   910229")</f>
        <v xml:space="preserve">   910229</v>
      </c>
      <c r="B2604" t="str">
        <f>T("   Montres-bracelets, même incorporant un compteur de temps, à remontage exclusivement manuel (autres que celles en métaux précieux ou en plaqués ou doublés de métaux précieux)")</f>
        <v xml:space="preserve">   Montres-bracelets, même incorporant un compteur de temps, à remontage exclusivement manuel (autres que celles en métaux précieux ou en plaqués ou doublés de métaux précieux)</v>
      </c>
      <c r="C2604">
        <v>169757</v>
      </c>
      <c r="D2604">
        <v>361</v>
      </c>
    </row>
    <row r="2605" spans="1:4" x14ac:dyDescent="0.25">
      <c r="A2605" t="str">
        <f>T("   910299")</f>
        <v xml:space="preserve">   910299</v>
      </c>
      <c r="B2605" t="str">
        <f>T("   Montres de poche et montres simil., à remontage manuel ou automatique, y.c. les compteurs de temps du même type (autres que celles en métaux précieux ou en plaqués ou doublés de métaux précieux)")</f>
        <v xml:space="preserve">   Montres de poche et montres simil., à remontage manuel ou automatique, y.c. les compteurs de temps du même type (autres que celles en métaux précieux ou en plaqués ou doublés de métaux précieux)</v>
      </c>
      <c r="C2605">
        <v>655960</v>
      </c>
      <c r="D2605">
        <v>501</v>
      </c>
    </row>
    <row r="2606" spans="1:4" x14ac:dyDescent="0.25">
      <c r="A2606" t="str">
        <f>T("   910390")</f>
        <v xml:space="preserve">   910390</v>
      </c>
      <c r="B2606" t="str">
        <f>T("   Réveils et pendulettes, à mouvement de montre, ne fonctionnant pas électriquement (autres que montres-bracelets, montres de poche et montres simil. du n° 9101 ou 9102 ainsi que montres de tableaux de bord et montres simil. du n° 9104)")</f>
        <v xml:space="preserve">   Réveils et pendulettes, à mouvement de montre, ne fonctionnant pas électriquement (autres que montres-bracelets, montres de poche et montres simil. du n° 9101 ou 9102 ainsi que montres de tableaux de bord et montres simil. du n° 9104)</v>
      </c>
      <c r="C2606">
        <v>459172</v>
      </c>
      <c r="D2606">
        <v>875</v>
      </c>
    </row>
    <row r="2607" spans="1:4" x14ac:dyDescent="0.25">
      <c r="A2607" t="str">
        <f>T("   910511")</f>
        <v xml:space="preserve">   910511</v>
      </c>
      <c r="B2607" t="str">
        <f>T("   Réveils fonctionnant électriquement")</f>
        <v xml:space="preserve">   Réveils fonctionnant électriquement</v>
      </c>
      <c r="C2607">
        <v>669010</v>
      </c>
      <c r="D2607">
        <v>328</v>
      </c>
    </row>
    <row r="2608" spans="1:4" x14ac:dyDescent="0.25">
      <c r="A2608" t="str">
        <f>T("   910519")</f>
        <v xml:space="preserve">   910519</v>
      </c>
      <c r="B2608" t="str">
        <f>T("   RÉVEILS NE FONCTIONNANT PAS ÉLECTRIQUEMENT [01/01/1988-31/12/1994: RÉVEILS (AUTRES QUE FONCTIONNANT A PILE OU A ACCUMULATEUR OU SUR SECTEUR)]")</f>
        <v xml:space="preserve">   RÉVEILS NE FONCTIONNANT PAS ÉLECTRIQUEMENT [01/01/1988-31/12/1994: RÉVEILS (AUTRES QUE FONCTIONNANT A PILE OU A ACCUMULATEUR OU SUR SECTEUR)]</v>
      </c>
      <c r="C2608">
        <v>300073</v>
      </c>
      <c r="D2608">
        <v>1432</v>
      </c>
    </row>
    <row r="2609" spans="1:4" x14ac:dyDescent="0.25">
      <c r="A2609" t="str">
        <f>T("   910521")</f>
        <v xml:space="preserve">   910521</v>
      </c>
      <c r="B2609" t="str">
        <f>T("   PENDULES ET HORLOGES, MURALES, FONCTIONNANT ÉLECTRIQUEMENT [01/01/1988-31/12/1994: PENDULES ET HORLOGES MURALES, A PILE OU A ACCUMULATEUR OU FONCTIONNANT SUR SECTEUR]")</f>
        <v xml:space="preserve">   PENDULES ET HORLOGES, MURALES, FONCTIONNANT ÉLECTRIQUEMENT [01/01/1988-31/12/1994: PENDULES ET HORLOGES MURALES, A PILE OU A ACCUMULATEUR OU FONCTIONNANT SUR SECTEUR]</v>
      </c>
      <c r="C2609">
        <v>2668258</v>
      </c>
      <c r="D2609">
        <v>3100</v>
      </c>
    </row>
    <row r="2610" spans="1:4" x14ac:dyDescent="0.25">
      <c r="A2610" t="str">
        <f>T("   910529")</f>
        <v xml:space="preserve">   910529</v>
      </c>
      <c r="B2610" t="str">
        <f>T("   Pendules et horloges murales ne fonctionnant pas électriquement")</f>
        <v xml:space="preserve">   Pendules et horloges murales ne fonctionnant pas électriquement</v>
      </c>
      <c r="C2610">
        <v>2067986</v>
      </c>
      <c r="D2610">
        <v>5680</v>
      </c>
    </row>
    <row r="2611" spans="1:4" x14ac:dyDescent="0.25">
      <c r="A2611" t="str">
        <f>T("   910690")</f>
        <v xml:space="preserve">   910690</v>
      </c>
      <c r="B2611" t="str">
        <f>T("   APPAREILS DE CONTRÔLE DE TEMPS, À MOUVEMENT D'HORLOGERIE OU À MOTEUR SYNCHRONE (AUTRES QU'APPAREILS D'HORLOGERIE DU N° 9101 À 9105, HORLOGES DE POINTAGE, HORODATEURS ET HOROCOMPTEURS)")</f>
        <v xml:space="preserve">   APPAREILS DE CONTRÔLE DE TEMPS, À MOUVEMENT D'HORLOGERIE OU À MOTEUR SYNCHRONE (AUTRES QU'APPAREILS D'HORLOGERIE DU N° 9101 À 9105, HORLOGES DE POINTAGE, HORODATEURS ET HOROCOMPTEURS)</v>
      </c>
      <c r="C2611">
        <v>3452279</v>
      </c>
      <c r="D2611">
        <v>7550</v>
      </c>
    </row>
    <row r="2612" spans="1:4" x14ac:dyDescent="0.25">
      <c r="A2612" t="str">
        <f>T("   920210")</f>
        <v xml:space="preserve">   920210</v>
      </c>
      <c r="B2612" t="str">
        <f>T("   VIOLONS ET AUTRES INSTRUMENTS À CORDES FROTTÉES À L'AIDE D'UN ARCHET [01/01/1988-31/12/1988: INSTRUMENTS DE MUSIQUE A CORDES FROTTEES, A L'AIDE D'UN ARCHET, VIOLONS, PAR EXEMPLE]")</f>
        <v xml:space="preserve">   VIOLONS ET AUTRES INSTRUMENTS À CORDES FROTTÉES À L'AIDE D'UN ARCHET [01/01/1988-31/12/1988: INSTRUMENTS DE MUSIQUE A CORDES FROTTEES, A L'AIDE D'UN ARCHET, VIOLONS, PAR EXEMPLE]</v>
      </c>
      <c r="C2612">
        <v>1325327</v>
      </c>
      <c r="D2612">
        <v>3000</v>
      </c>
    </row>
    <row r="2613" spans="1:4" x14ac:dyDescent="0.25">
      <c r="A2613" t="str">
        <f>T("   920290")</f>
        <v xml:space="preserve">   920290</v>
      </c>
      <c r="B2613" t="str">
        <f>T("   Guitares, harpes et autres instruments de musique à cordes (autres qu'à clavier et à cordes frottées)")</f>
        <v xml:space="preserve">   Guitares, harpes et autres instruments de musique à cordes (autres qu'à clavier et à cordes frottées)</v>
      </c>
      <c r="C2613">
        <v>512905</v>
      </c>
      <c r="D2613">
        <v>790</v>
      </c>
    </row>
    <row r="2614" spans="1:4" x14ac:dyDescent="0.25">
      <c r="A2614" t="str">
        <f>T("   920790")</f>
        <v xml:space="preserve">   920790</v>
      </c>
      <c r="B2614" t="str">
        <f>T("   Accordéons électriques et autres instruments de musique électriques")</f>
        <v xml:space="preserve">   Accordéons électriques et autres instruments de musique électriques</v>
      </c>
      <c r="C2614">
        <v>246865</v>
      </c>
      <c r="D2614">
        <v>50</v>
      </c>
    </row>
    <row r="2615" spans="1:4" x14ac:dyDescent="0.25">
      <c r="A2615" t="str">
        <f>T("   920810")</f>
        <v xml:space="preserve">   920810</v>
      </c>
      <c r="B2615" t="str">
        <f>T("   Boîtes à musique")</f>
        <v xml:space="preserve">   Boîtes à musique</v>
      </c>
      <c r="C2615">
        <v>734675</v>
      </c>
      <c r="D2615">
        <v>3499</v>
      </c>
    </row>
    <row r="2616" spans="1:4" x14ac:dyDescent="0.25">
      <c r="A2616" t="str">
        <f>T("   920999")</f>
        <v xml:space="preserve">   920999</v>
      </c>
      <c r="B2616" t="s">
        <v>504</v>
      </c>
      <c r="C2616">
        <v>2326453</v>
      </c>
      <c r="D2616">
        <v>6257</v>
      </c>
    </row>
    <row r="2617" spans="1:4" x14ac:dyDescent="0.25">
      <c r="A2617" t="str">
        <f>T("   940130")</f>
        <v xml:space="preserve">   940130</v>
      </c>
      <c r="B2617"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2617">
        <v>30201470</v>
      </c>
      <c r="D2617">
        <v>37708</v>
      </c>
    </row>
    <row r="2618" spans="1:4" x14ac:dyDescent="0.25">
      <c r="A2618" t="str">
        <f>T("   940150")</f>
        <v xml:space="preserve">   940150</v>
      </c>
      <c r="B2618" t="str">
        <f>T("   Sièges en rotin, en osier, en bambou ou en matières simil.")</f>
        <v xml:space="preserve">   Sièges en rotin, en osier, en bambou ou en matières simil.</v>
      </c>
      <c r="C2618">
        <v>60398</v>
      </c>
      <c r="D2618">
        <v>30</v>
      </c>
    </row>
    <row r="2619" spans="1:4" x14ac:dyDescent="0.25">
      <c r="A2619" t="str">
        <f>T("   940161")</f>
        <v xml:space="preserve">   940161</v>
      </c>
      <c r="B2619" t="str">
        <f>T("   Sièges, avec bâti en bois, rembourrés (non transformables en lits)")</f>
        <v xml:space="preserve">   Sièges, avec bâti en bois, rembourrés (non transformables en lits)</v>
      </c>
      <c r="C2619">
        <v>184333359</v>
      </c>
      <c r="D2619">
        <v>172137</v>
      </c>
    </row>
    <row r="2620" spans="1:4" x14ac:dyDescent="0.25">
      <c r="A2620" t="str">
        <f>T("   940169")</f>
        <v xml:space="preserve">   940169</v>
      </c>
      <c r="B2620" t="str">
        <f>T("   Sièges, avec bâti en bois, non rembourrés")</f>
        <v xml:space="preserve">   Sièges, avec bâti en bois, non rembourrés</v>
      </c>
      <c r="C2620">
        <v>40313306</v>
      </c>
      <c r="D2620">
        <v>92378</v>
      </c>
    </row>
    <row r="2621" spans="1:4" x14ac:dyDescent="0.25">
      <c r="A2621" t="str">
        <f>T("   940171")</f>
        <v xml:space="preserve">   940171</v>
      </c>
      <c r="B2621"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2621">
        <v>34575934</v>
      </c>
      <c r="D2621">
        <v>53156</v>
      </c>
    </row>
    <row r="2622" spans="1:4" x14ac:dyDescent="0.25">
      <c r="A2622" t="str">
        <f>T("   940179")</f>
        <v xml:space="preserve">   940179</v>
      </c>
      <c r="B2622"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2622">
        <v>24924652</v>
      </c>
      <c r="D2622">
        <v>40867</v>
      </c>
    </row>
    <row r="2623" spans="1:4" x14ac:dyDescent="0.25">
      <c r="A2623" t="str">
        <f>T("   940180")</f>
        <v xml:space="preserve">   940180</v>
      </c>
      <c r="B2623" t="str">
        <f>T("   Sièges, n.d.a.")</f>
        <v xml:space="preserve">   Sièges, n.d.a.</v>
      </c>
      <c r="C2623">
        <v>95308578</v>
      </c>
      <c r="D2623">
        <v>154041</v>
      </c>
    </row>
    <row r="2624" spans="1:4" x14ac:dyDescent="0.25">
      <c r="A2624" t="str">
        <f>T("   940190")</f>
        <v xml:space="preserve">   940190</v>
      </c>
      <c r="B2624" t="str">
        <f>T("   Parties de sièges, n.d.a.")</f>
        <v xml:space="preserve">   Parties de sièges, n.d.a.</v>
      </c>
      <c r="C2624">
        <v>116554</v>
      </c>
      <c r="D2624">
        <v>52</v>
      </c>
    </row>
    <row r="2625" spans="1:4" x14ac:dyDescent="0.25">
      <c r="A2625" t="str">
        <f>T("   940210")</f>
        <v xml:space="preserve">   940210</v>
      </c>
      <c r="B2625"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2625">
        <v>615006</v>
      </c>
      <c r="D2625">
        <v>3725</v>
      </c>
    </row>
    <row r="2626" spans="1:4" x14ac:dyDescent="0.25">
      <c r="A2626" t="str">
        <f>T("   940290")</f>
        <v xml:space="preserve">   940290</v>
      </c>
      <c r="B2626"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2626">
        <v>14924737</v>
      </c>
      <c r="D2626">
        <v>17677</v>
      </c>
    </row>
    <row r="2627" spans="1:4" x14ac:dyDescent="0.25">
      <c r="A2627" t="str">
        <f>T("   940310")</f>
        <v xml:space="preserve">   940310</v>
      </c>
      <c r="B2627" t="str">
        <f>T("   Meubles de bureau en métal (sauf sièges)")</f>
        <v xml:space="preserve">   Meubles de bureau en métal (sauf sièges)</v>
      </c>
      <c r="C2627">
        <v>15776132</v>
      </c>
      <c r="D2627">
        <v>28279</v>
      </c>
    </row>
    <row r="2628" spans="1:4" x14ac:dyDescent="0.25">
      <c r="A2628" t="str">
        <f>T("   940320")</f>
        <v xml:space="preserve">   940320</v>
      </c>
      <c r="B2628"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2628">
        <v>7796006</v>
      </c>
      <c r="D2628">
        <v>13466</v>
      </c>
    </row>
    <row r="2629" spans="1:4" x14ac:dyDescent="0.25">
      <c r="A2629" t="str">
        <f>T("   940330")</f>
        <v xml:space="preserve">   940330</v>
      </c>
      <c r="B2629" t="str">
        <f>T("   Meubles de bureau en bois (sauf sièges)")</f>
        <v xml:space="preserve">   Meubles de bureau en bois (sauf sièges)</v>
      </c>
      <c r="C2629">
        <v>85117401</v>
      </c>
      <c r="D2629">
        <v>135509</v>
      </c>
    </row>
    <row r="2630" spans="1:4" x14ac:dyDescent="0.25">
      <c r="A2630" t="str">
        <f>T("   940340")</f>
        <v xml:space="preserve">   940340</v>
      </c>
      <c r="B2630" t="str">
        <f>T("   Meubles de cuisine, en bois (sauf sièges)")</f>
        <v xml:space="preserve">   Meubles de cuisine, en bois (sauf sièges)</v>
      </c>
      <c r="C2630">
        <v>13913120</v>
      </c>
      <c r="D2630">
        <v>20543</v>
      </c>
    </row>
    <row r="2631" spans="1:4" x14ac:dyDescent="0.25">
      <c r="A2631" t="str">
        <f>T("   940350")</f>
        <v xml:space="preserve">   940350</v>
      </c>
      <c r="B2631" t="str">
        <f>T("   Meubles pour chambres à coucher, en bois (sauf sièges)")</f>
        <v xml:space="preserve">   Meubles pour chambres à coucher, en bois (sauf sièges)</v>
      </c>
      <c r="C2631">
        <v>72873453</v>
      </c>
      <c r="D2631">
        <v>132207</v>
      </c>
    </row>
    <row r="2632" spans="1:4" x14ac:dyDescent="0.25">
      <c r="A2632" t="str">
        <f>T("   940360")</f>
        <v xml:space="preserve">   940360</v>
      </c>
      <c r="B2632" t="str">
        <f>T("   Meubles en bois (autres que pour bureaux, cuisines ou chambres à coucher et autres que sièges)")</f>
        <v xml:space="preserve">   Meubles en bois (autres que pour bureaux, cuisines ou chambres à coucher et autres que sièges)</v>
      </c>
      <c r="C2632">
        <v>123519522</v>
      </c>
      <c r="D2632">
        <v>289375</v>
      </c>
    </row>
    <row r="2633" spans="1:4" x14ac:dyDescent="0.25">
      <c r="A2633" t="str">
        <f>T("   940370")</f>
        <v xml:space="preserve">   940370</v>
      </c>
      <c r="B2633"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2633">
        <v>8477762</v>
      </c>
      <c r="D2633">
        <v>15535</v>
      </c>
    </row>
    <row r="2634" spans="1:4" x14ac:dyDescent="0.25">
      <c r="A2634" t="str">
        <f>T("   940380")</f>
        <v xml:space="preserve">   940380</v>
      </c>
      <c r="B2634" t="str">
        <f>T("   Meubles en rotin, osier, bambou ou autres matières (sauf métal, bois et matières plastiques)")</f>
        <v xml:space="preserve">   Meubles en rotin, osier, bambou ou autres matières (sauf métal, bois et matières plastiques)</v>
      </c>
      <c r="C2634">
        <v>494641927</v>
      </c>
      <c r="D2634">
        <v>1197974.3999999999</v>
      </c>
    </row>
    <row r="2635" spans="1:4" x14ac:dyDescent="0.25">
      <c r="A2635" t="str">
        <f>T("   940390")</f>
        <v xml:space="preserve">   940390</v>
      </c>
      <c r="B2635"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2635">
        <v>2655861</v>
      </c>
      <c r="D2635">
        <v>13580</v>
      </c>
    </row>
    <row r="2636" spans="1:4" x14ac:dyDescent="0.25">
      <c r="A2636" t="str">
        <f>T("   940410")</f>
        <v xml:space="preserve">   940410</v>
      </c>
      <c r="B2636" t="str">
        <f>T("   Sommiers (sauf ressorts pour sièges)")</f>
        <v xml:space="preserve">   Sommiers (sauf ressorts pour sièges)</v>
      </c>
      <c r="C2636">
        <v>11186568</v>
      </c>
      <c r="D2636">
        <v>11294</v>
      </c>
    </row>
    <row r="2637" spans="1:4" x14ac:dyDescent="0.25">
      <c r="A2637" t="str">
        <f>T("   940429")</f>
        <v xml:space="preserve">   940429</v>
      </c>
      <c r="B2637"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2637">
        <v>2061733</v>
      </c>
      <c r="D2637">
        <v>27384</v>
      </c>
    </row>
    <row r="2638" spans="1:4" x14ac:dyDescent="0.25">
      <c r="A2638" t="str">
        <f>T("   940490")</f>
        <v xml:space="preserve">   940490</v>
      </c>
      <c r="B2638" t="s">
        <v>505</v>
      </c>
      <c r="C2638">
        <v>10972602</v>
      </c>
      <c r="D2638">
        <v>26722</v>
      </c>
    </row>
    <row r="2639" spans="1:4" x14ac:dyDescent="0.25">
      <c r="A2639" t="str">
        <f>T("   940510")</f>
        <v xml:space="preserve">   940510</v>
      </c>
      <c r="B2639"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2639">
        <v>160683068</v>
      </c>
      <c r="D2639">
        <v>162069</v>
      </c>
    </row>
    <row r="2640" spans="1:4" x14ac:dyDescent="0.25">
      <c r="A2640" t="str">
        <f>T("   940520")</f>
        <v xml:space="preserve">   940520</v>
      </c>
      <c r="B2640" t="str">
        <f>T("   Lampes de chevet, lampes de bureau et lampadaires d'intérieur, électriques")</f>
        <v xml:space="preserve">   Lampes de chevet, lampes de bureau et lampadaires d'intérieur, électriques</v>
      </c>
      <c r="C2640">
        <v>7112944</v>
      </c>
      <c r="D2640">
        <v>8589</v>
      </c>
    </row>
    <row r="2641" spans="1:4" x14ac:dyDescent="0.25">
      <c r="A2641" t="str">
        <f>T("   940530")</f>
        <v xml:space="preserve">   940530</v>
      </c>
      <c r="B2641" t="str">
        <f>T("   GUIRLANDES ÉLECTRIQUES POUR ARBRES DE NOÙL")</f>
        <v xml:space="preserve">   GUIRLANDES ÉLECTRIQUES POUR ARBRES DE NOÙL</v>
      </c>
      <c r="C2641">
        <v>6454128</v>
      </c>
      <c r="D2641">
        <v>8470</v>
      </c>
    </row>
    <row r="2642" spans="1:4" x14ac:dyDescent="0.25">
      <c r="A2642" t="str">
        <f>T("   940540")</f>
        <v xml:space="preserve">   940540</v>
      </c>
      <c r="B2642" t="str">
        <f>T("   Appareils d'éclairage électrique, n.d.a.")</f>
        <v xml:space="preserve">   Appareils d'éclairage électrique, n.d.a.</v>
      </c>
      <c r="C2642">
        <v>34909565</v>
      </c>
      <c r="D2642">
        <v>66012</v>
      </c>
    </row>
    <row r="2643" spans="1:4" x14ac:dyDescent="0.25">
      <c r="A2643" t="str">
        <f>T("   940550")</f>
        <v xml:space="preserve">   940550</v>
      </c>
      <c r="B2643" t="str">
        <f>T("   Appareils d'éclairage non-électriques, n.d.a.")</f>
        <v xml:space="preserve">   Appareils d'éclairage non-électriques, n.d.a.</v>
      </c>
      <c r="C2643">
        <v>3051331</v>
      </c>
      <c r="D2643">
        <v>2645</v>
      </c>
    </row>
    <row r="2644" spans="1:4" x14ac:dyDescent="0.25">
      <c r="A2644" t="str">
        <f>T("   940560")</f>
        <v xml:space="preserve">   940560</v>
      </c>
      <c r="B2644"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2644">
        <v>323932</v>
      </c>
      <c r="D2644">
        <v>6007</v>
      </c>
    </row>
    <row r="2645" spans="1:4" x14ac:dyDescent="0.25">
      <c r="A2645" t="str">
        <f>T("   940591")</f>
        <v xml:space="preserve">   940591</v>
      </c>
      <c r="B2645" t="str">
        <f>T("   Parties en verres d'appareils d'éclairage, de lampes-réclames, d'enseignes lumineuses, de plaques indicatrices lumineuses, et simil., n.d.a.")</f>
        <v xml:space="preserve">   Parties en verres d'appareils d'éclairage, de lampes-réclames, d'enseignes lumineuses, de plaques indicatrices lumineuses, et simil., n.d.a.</v>
      </c>
      <c r="C2645">
        <v>849409</v>
      </c>
      <c r="D2645">
        <v>916</v>
      </c>
    </row>
    <row r="2646" spans="1:4" x14ac:dyDescent="0.25">
      <c r="A2646" t="str">
        <f>T("   940592")</f>
        <v xml:space="preserve">   940592</v>
      </c>
      <c r="B2646" t="str">
        <f>T("   Parties en matières plastiques d'appareils d'éclairage, de lampes-réclames, d'enseignes lumineuses, de plaques indicatrices lumineuses, et simil., n.d.a.")</f>
        <v xml:space="preserve">   Parties en matières plastiques d'appareils d'éclairage, de lampes-réclames, d'enseignes lumineuses, de plaques indicatrices lumineuses, et simil., n.d.a.</v>
      </c>
      <c r="C2646">
        <v>2298005</v>
      </c>
      <c r="D2646">
        <v>2829</v>
      </c>
    </row>
    <row r="2647" spans="1:4" x14ac:dyDescent="0.25">
      <c r="A2647" t="str">
        <f>T("   940599")</f>
        <v xml:space="preserve">   940599</v>
      </c>
      <c r="B2647" t="str">
        <f>T("   Parties d'appareils d'éclairage, de lampes-réclames, d'enseignes lumineuses, de plaques indicatrices lumineuses, et simil., n.d.a.")</f>
        <v xml:space="preserve">   Parties d'appareils d'éclairage, de lampes-réclames, d'enseignes lumineuses, de plaques indicatrices lumineuses, et simil., n.d.a.</v>
      </c>
      <c r="C2647">
        <v>1725180</v>
      </c>
      <c r="D2647">
        <v>3379</v>
      </c>
    </row>
    <row r="2648" spans="1:4" x14ac:dyDescent="0.25">
      <c r="A2648" t="str">
        <f>T("   940600")</f>
        <v xml:space="preserve">   940600</v>
      </c>
      <c r="B2648" t="str">
        <f>T("   Constructions préfabriquées, même incomplètes ou non encore montées")</f>
        <v xml:space="preserve">   Constructions préfabriquées, même incomplètes ou non encore montées</v>
      </c>
      <c r="C2648">
        <v>13624056</v>
      </c>
      <c r="D2648">
        <v>21016</v>
      </c>
    </row>
    <row r="2649" spans="1:4" x14ac:dyDescent="0.25">
      <c r="A2649" t="str">
        <f>T("   950100")</f>
        <v xml:space="preserve">   950100</v>
      </c>
      <c r="B2649"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2649">
        <v>6615850</v>
      </c>
      <c r="D2649">
        <v>20699</v>
      </c>
    </row>
    <row r="2650" spans="1:4" x14ac:dyDescent="0.25">
      <c r="A2650" t="str">
        <f>T("   950210")</f>
        <v xml:space="preserve">   950210</v>
      </c>
      <c r="B2650" t="str">
        <f>T("   Poupées représentant uniquement l'être humain, habillées ou non")</f>
        <v xml:space="preserve">   Poupées représentant uniquement l'être humain, habillées ou non</v>
      </c>
      <c r="C2650">
        <v>6597648</v>
      </c>
      <c r="D2650">
        <v>18376</v>
      </c>
    </row>
    <row r="2651" spans="1:4" x14ac:dyDescent="0.25">
      <c r="A2651" t="str">
        <f>T("   950299")</f>
        <v xml:space="preserve">   950299</v>
      </c>
      <c r="B2651" t="str">
        <f>T("   Parties et accessoires pour poupées représentant uniquement l'être humain, n.d.a.")</f>
        <v xml:space="preserve">   Parties et accessoires pour poupées représentant uniquement l'être humain, n.d.a.</v>
      </c>
      <c r="C2651">
        <v>5987561</v>
      </c>
      <c r="D2651">
        <v>16025</v>
      </c>
    </row>
    <row r="2652" spans="1:4" x14ac:dyDescent="0.25">
      <c r="A2652" t="str">
        <f>T("   950310")</f>
        <v xml:space="preserve">   950310</v>
      </c>
      <c r="B2652" t="str">
        <f>T("   Modèles réduits de trains électriques, y.c. les rails, les signaux et autres accessoires")</f>
        <v xml:space="preserve">   Modèles réduits de trains électriques, y.c. les rails, les signaux et autres accessoires</v>
      </c>
      <c r="C2652">
        <v>20802778</v>
      </c>
      <c r="D2652">
        <v>37709</v>
      </c>
    </row>
    <row r="2653" spans="1:4" x14ac:dyDescent="0.25">
      <c r="A2653" t="str">
        <f>T("   950320")</f>
        <v xml:space="preserve">   950320</v>
      </c>
      <c r="B2653" t="str">
        <f>T("   Modèles réduits, animés ou non, à assembler (sauf trains électriques, y.c. les rails, signaux et autres accessoires)")</f>
        <v xml:space="preserve">   Modèles réduits, animés ou non, à assembler (sauf trains électriques, y.c. les rails, signaux et autres accessoires)</v>
      </c>
      <c r="C2653">
        <v>2065208</v>
      </c>
      <c r="D2653">
        <v>2219</v>
      </c>
    </row>
    <row r="2654" spans="1:4" x14ac:dyDescent="0.25">
      <c r="A2654" t="str">
        <f>T("   950330")</f>
        <v xml:space="preserve">   950330</v>
      </c>
      <c r="B2654" t="str">
        <f>T("   Assortiments et jouets de construction (sauf modèles réduits à assembler)")</f>
        <v xml:space="preserve">   Assortiments et jouets de construction (sauf modèles réduits à assembler)</v>
      </c>
      <c r="C2654">
        <v>196788</v>
      </c>
      <c r="D2654">
        <v>605</v>
      </c>
    </row>
    <row r="2655" spans="1:4" x14ac:dyDescent="0.25">
      <c r="A2655" t="str">
        <f>T("   950350")</f>
        <v xml:space="preserve">   950350</v>
      </c>
      <c r="B2655" t="str">
        <f>T("   INSTRUMENTS ET APPAREILS DE MUSIQUE-JOUETS")</f>
        <v xml:space="preserve">   INSTRUMENTS ET APPAREILS DE MUSIQUE-JOUETS</v>
      </c>
      <c r="C2655">
        <v>4526675</v>
      </c>
      <c r="D2655">
        <v>10591</v>
      </c>
    </row>
    <row r="2656" spans="1:4" x14ac:dyDescent="0.25">
      <c r="A2656" t="str">
        <f>T("   950360")</f>
        <v xml:space="preserve">   950360</v>
      </c>
      <c r="B2656" t="str">
        <f>T("   PUZZLES")</f>
        <v xml:space="preserve">   PUZZLES</v>
      </c>
      <c r="C2656">
        <v>985829</v>
      </c>
      <c r="D2656">
        <v>320</v>
      </c>
    </row>
    <row r="2657" spans="1:4" x14ac:dyDescent="0.25">
      <c r="A2657" t="str">
        <f>T("   950370")</f>
        <v xml:space="preserve">   950370</v>
      </c>
      <c r="B2657" t="str">
        <f>T("   Jouets présentés en assortiments ou en panoplies (sauf trains électriques, y.c. accessoires, sauf modèles réduits à assembler, cubes et jeux de construction et puzzles)")</f>
        <v xml:space="preserve">   Jouets présentés en assortiments ou en panoplies (sauf trains électriques, y.c. accessoires, sauf modèles réduits à assembler, cubes et jeux de construction et puzzles)</v>
      </c>
      <c r="C2657">
        <v>530300</v>
      </c>
      <c r="D2657">
        <v>4645</v>
      </c>
    </row>
    <row r="2658" spans="1:4" x14ac:dyDescent="0.25">
      <c r="A2658" t="str">
        <f>T("   950380")</f>
        <v xml:space="preserve">   950380</v>
      </c>
      <c r="B2658" t="str">
        <f>T("   JOUETS ET MODÈLES, À MOTEUR (SAUF TRAINS ÉLECTRIQUES, Y.C. LES ACCESSOIRES, SAUF MODÈLES RÉDUITS À ASSEMBLER, JOUETS REPRÉSENTANT DES ANIMAUX OU DES CRÉATURES NON-HUMAINES)")</f>
        <v xml:space="preserve">   JOUETS ET MODÈLES, À MOTEUR (SAUF TRAINS ÉLECTRIQUES, Y.C. LES ACCESSOIRES, SAUF MODÈLES RÉDUITS À ASSEMBLER, JOUETS REPRÉSENTANT DES ANIMAUX OU DES CRÉATURES NON-HUMAINES)</v>
      </c>
      <c r="C2658">
        <v>16383268</v>
      </c>
      <c r="D2658">
        <v>26882</v>
      </c>
    </row>
    <row r="2659" spans="1:4" x14ac:dyDescent="0.25">
      <c r="A2659" t="str">
        <f>T("   950390")</f>
        <v xml:space="preserve">   950390</v>
      </c>
      <c r="B2659" t="str">
        <f>T("   Jouets, n.d.a.")</f>
        <v xml:space="preserve">   Jouets, n.d.a.</v>
      </c>
      <c r="C2659">
        <v>50235129</v>
      </c>
      <c r="D2659">
        <v>132460</v>
      </c>
    </row>
    <row r="2660" spans="1:4" x14ac:dyDescent="0.25">
      <c r="A2660" t="str">
        <f>T("   950420")</f>
        <v xml:space="preserve">   950420</v>
      </c>
      <c r="B2660" t="str">
        <f>T("   BILLARDS DE TOUT GENRE ET LEURS ACCESSOIRES")</f>
        <v xml:space="preserve">   BILLARDS DE TOUT GENRE ET LEURS ACCESSOIRES</v>
      </c>
      <c r="C2660">
        <v>773714</v>
      </c>
      <c r="D2660">
        <v>3472</v>
      </c>
    </row>
    <row r="2661" spans="1:4" x14ac:dyDescent="0.25">
      <c r="A2661" t="str">
        <f>T("   950490")</f>
        <v xml:space="preserve">   950490</v>
      </c>
      <c r="B2661" t="s">
        <v>507</v>
      </c>
      <c r="C2661">
        <v>2839751</v>
      </c>
      <c r="D2661">
        <v>12413</v>
      </c>
    </row>
    <row r="2662" spans="1:4" x14ac:dyDescent="0.25">
      <c r="A2662" t="str">
        <f>T("   950510")</f>
        <v xml:space="preserve">   950510</v>
      </c>
      <c r="B2662" t="str">
        <f>T("   Articles pour fêtes de Noël (sauf bougies et guirlandes électriques)")</f>
        <v xml:space="preserve">   Articles pour fêtes de Noël (sauf bougies et guirlandes électriques)</v>
      </c>
      <c r="C2662">
        <v>26917438</v>
      </c>
      <c r="D2662">
        <v>60045</v>
      </c>
    </row>
    <row r="2663" spans="1:4" x14ac:dyDescent="0.25">
      <c r="A2663" t="str">
        <f>T("   950590")</f>
        <v xml:space="preserve">   950590</v>
      </c>
      <c r="B2663" t="str">
        <f>T("   Articles pour fêtes, carnaval ou autres divertissements, y.c. les articles de magie et articles-surprises, n.d.a.")</f>
        <v xml:space="preserve">   Articles pour fêtes, carnaval ou autres divertissements, y.c. les articles de magie et articles-surprises, n.d.a.</v>
      </c>
      <c r="C2663">
        <v>5476867</v>
      </c>
      <c r="D2663">
        <v>12712</v>
      </c>
    </row>
    <row r="2664" spans="1:4" x14ac:dyDescent="0.25">
      <c r="A2664" t="str">
        <f>T("   950640")</f>
        <v xml:space="preserve">   950640</v>
      </c>
      <c r="B2664" t="str">
        <f>T("   Articles et matériel pour le tennis de table")</f>
        <v xml:space="preserve">   Articles et matériel pour le tennis de table</v>
      </c>
      <c r="C2664">
        <v>664710</v>
      </c>
      <c r="D2664">
        <v>1231</v>
      </c>
    </row>
    <row r="2665" spans="1:4" x14ac:dyDescent="0.25">
      <c r="A2665" t="str">
        <f>T("   950659")</f>
        <v xml:space="preserve">   950659</v>
      </c>
      <c r="B2665" t="str">
        <f>T("   RAQUETTES DE BADMINTON OU SIMIL., MÊME NON CORDÉES (À L'EXCL. DES RAQUETTES DE TENNIS ET DE TENNIS DE TABLE) [01/01/1988-31/12/1994: RAQUETTES DE BADMINTON OU SIMILAIRES, CORDEES OU NON ( SAUF RAQUETTES DE TENNIS ET DE TENNIS DE TABLE)]")</f>
        <v xml:space="preserve">   RAQUETTES DE BADMINTON OU SIMIL., MÊME NON CORDÉES (À L'EXCL. DES RAQUETTES DE TENNIS ET DE TENNIS DE TABLE) [01/01/1988-31/12/1994: RAQUETTES DE BADMINTON OU SIMILAIRES, CORDEES OU NON ( SAUF RAQUETTES DE TENNIS ET DE TENNIS DE TABLE)]</v>
      </c>
      <c r="C2665">
        <v>4669</v>
      </c>
      <c r="D2665">
        <v>36</v>
      </c>
    </row>
    <row r="2666" spans="1:4" x14ac:dyDescent="0.25">
      <c r="A2666" t="str">
        <f>T("   950662")</f>
        <v xml:space="preserve">   950662</v>
      </c>
      <c r="B2666" t="str">
        <f>T("   Ballons et balles gonflables")</f>
        <v xml:space="preserve">   Ballons et balles gonflables</v>
      </c>
      <c r="C2666">
        <v>10127444</v>
      </c>
      <c r="D2666">
        <v>18285</v>
      </c>
    </row>
    <row r="2667" spans="1:4" x14ac:dyDescent="0.25">
      <c r="A2667" t="str">
        <f>T("   950669")</f>
        <v xml:space="preserve">   950669</v>
      </c>
      <c r="B2667" t="str">
        <f>T("   Ballons et balles (autres que gonflables et autres que balles de golf ou de tennis de table)")</f>
        <v xml:space="preserve">   Ballons et balles (autres que gonflables et autres que balles de golf ou de tennis de table)</v>
      </c>
      <c r="C2667">
        <v>3799479</v>
      </c>
      <c r="D2667">
        <v>7666</v>
      </c>
    </row>
    <row r="2668" spans="1:4" x14ac:dyDescent="0.25">
      <c r="A2668" t="str">
        <f>T("   950691")</f>
        <v xml:space="preserve">   950691</v>
      </c>
      <c r="B2668" t="str">
        <f>T("   Articles et matériel pour la culture physique, la gymnastique ou l'athlétisme")</f>
        <v xml:space="preserve">   Articles et matériel pour la culture physique, la gymnastique ou l'athlétisme</v>
      </c>
      <c r="C2668">
        <v>16630470</v>
      </c>
      <c r="D2668">
        <v>27818</v>
      </c>
    </row>
    <row r="2669" spans="1:4" x14ac:dyDescent="0.25">
      <c r="A2669" t="str">
        <f>T("   950699")</f>
        <v xml:space="preserve">   950699</v>
      </c>
      <c r="B2669" t="str">
        <f>T("   Articles et matériel pour le sport et les jeux de plein air, n.d.a.; piscines et pataugeoires")</f>
        <v xml:space="preserve">   Articles et matériel pour le sport et les jeux de plein air, n.d.a.; piscines et pataugeoires</v>
      </c>
      <c r="C2669">
        <v>9348313</v>
      </c>
      <c r="D2669">
        <v>13402</v>
      </c>
    </row>
    <row r="2670" spans="1:4" x14ac:dyDescent="0.25">
      <c r="A2670" t="str">
        <f>T("   950720")</f>
        <v xml:space="preserve">   950720</v>
      </c>
      <c r="B2670" t="str">
        <f>T("   Hameçons, avec empile ou non")</f>
        <v xml:space="preserve">   Hameçons, avec empile ou non</v>
      </c>
      <c r="C2670">
        <v>98358</v>
      </c>
      <c r="D2670">
        <v>2450</v>
      </c>
    </row>
    <row r="2671" spans="1:4" x14ac:dyDescent="0.25">
      <c r="A2671" t="str">
        <f>T("   950890")</f>
        <v xml:space="preserve">   950890</v>
      </c>
      <c r="B2671" t="s">
        <v>508</v>
      </c>
      <c r="C2671">
        <v>127507</v>
      </c>
      <c r="D2671">
        <v>1777</v>
      </c>
    </row>
    <row r="2672" spans="1:4" x14ac:dyDescent="0.25">
      <c r="A2672" t="str">
        <f>T("   960310")</f>
        <v xml:space="preserve">   960310</v>
      </c>
      <c r="B2672" t="str">
        <f>T("   Balais et balayettes consistant en matières végétales en bottes liées")</f>
        <v xml:space="preserve">   Balais et balayettes consistant en matières végétales en bottes liées</v>
      </c>
      <c r="C2672">
        <v>14593470</v>
      </c>
      <c r="D2672">
        <v>27818</v>
      </c>
    </row>
    <row r="2673" spans="1:4" x14ac:dyDescent="0.25">
      <c r="A2673" t="str">
        <f>T("   960321")</f>
        <v xml:space="preserve">   960321</v>
      </c>
      <c r="B2673" t="str">
        <f>T("   Brosses à dent, y.c. brosses à prothèses dentaires")</f>
        <v xml:space="preserve">   Brosses à dent, y.c. brosses à prothèses dentaires</v>
      </c>
      <c r="C2673">
        <v>1600136</v>
      </c>
      <c r="D2673">
        <v>2881</v>
      </c>
    </row>
    <row r="2674" spans="1:4" x14ac:dyDescent="0.25">
      <c r="A2674" t="str">
        <f>T("   960329")</f>
        <v xml:space="preserve">   960329</v>
      </c>
      <c r="B2674"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2674">
        <v>1485737</v>
      </c>
      <c r="D2674">
        <v>5407</v>
      </c>
    </row>
    <row r="2675" spans="1:4" x14ac:dyDescent="0.25">
      <c r="A2675" t="str">
        <f>T("   960340")</f>
        <v xml:space="preserve">   960340</v>
      </c>
      <c r="B2675"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2675">
        <v>1521860</v>
      </c>
      <c r="D2675">
        <v>3568</v>
      </c>
    </row>
    <row r="2676" spans="1:4" x14ac:dyDescent="0.25">
      <c r="A2676" t="str">
        <f>T("   960390")</f>
        <v xml:space="preserve">   960390</v>
      </c>
      <c r="B2676"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2676">
        <v>10113274</v>
      </c>
      <c r="D2676">
        <v>13076</v>
      </c>
    </row>
    <row r="2677" spans="1:4" x14ac:dyDescent="0.25">
      <c r="A2677" t="str">
        <f>T("   960400")</f>
        <v xml:space="preserve">   960400</v>
      </c>
      <c r="B2677" t="str">
        <f>T("   Tamis et cribles, à main (sauf simples égouttoirs et passoires)")</f>
        <v xml:space="preserve">   Tamis et cribles, à main (sauf simples égouttoirs et passoires)</v>
      </c>
      <c r="C2677">
        <v>2214599</v>
      </c>
      <c r="D2677">
        <v>5500</v>
      </c>
    </row>
    <row r="2678" spans="1:4" x14ac:dyDescent="0.25">
      <c r="A2678" t="str">
        <f>T("   960500")</f>
        <v xml:space="preserve">   960500</v>
      </c>
      <c r="B2678" t="str">
        <f>T("   Assortiments de voyage pour la toilette des personnes, la couture ou le nettoyage des chaussures ou des vêtements (sauf trousses de manucure)")</f>
        <v xml:space="preserve">   Assortiments de voyage pour la toilette des personnes, la couture ou le nettoyage des chaussures ou des vêtements (sauf trousses de manucure)</v>
      </c>
      <c r="C2678">
        <v>9248380</v>
      </c>
      <c r="D2678">
        <v>13692</v>
      </c>
    </row>
    <row r="2679" spans="1:4" x14ac:dyDescent="0.25">
      <c r="A2679" t="str">
        <f>T("   960610")</f>
        <v xml:space="preserve">   960610</v>
      </c>
      <c r="B2679" t="str">
        <f>T("   Boutons-pression et leurs parties")</f>
        <v xml:space="preserve">   Boutons-pression et leurs parties</v>
      </c>
      <c r="C2679">
        <v>32741656</v>
      </c>
      <c r="D2679">
        <v>120870</v>
      </c>
    </row>
    <row r="2680" spans="1:4" x14ac:dyDescent="0.25">
      <c r="A2680" t="str">
        <f>T("   960629")</f>
        <v xml:space="preserve">   960629</v>
      </c>
      <c r="B2680" t="str">
        <f>T("   Boutons (sauf boutons en matières plastiques ou en métaux communs, non recouverts de matières textiles, boutons-pressions et boutons de manchette)")</f>
        <v xml:space="preserve">   Boutons (sauf boutons en matières plastiques ou en métaux communs, non recouverts de matières textiles, boutons-pressions et boutons de manchette)</v>
      </c>
      <c r="C2680">
        <v>10542521</v>
      </c>
      <c r="D2680">
        <v>33548</v>
      </c>
    </row>
    <row r="2681" spans="1:4" x14ac:dyDescent="0.25">
      <c r="A2681" t="str">
        <f>T("   960719")</f>
        <v xml:space="preserve">   960719</v>
      </c>
      <c r="B2681" t="str">
        <f>T("   Fermetures à glissière sans agrafes et autres qu'en métaux communs")</f>
        <v xml:space="preserve">   Fermetures à glissière sans agrafes et autres qu'en métaux communs</v>
      </c>
      <c r="C2681">
        <v>21522623</v>
      </c>
      <c r="D2681">
        <v>45840</v>
      </c>
    </row>
    <row r="2682" spans="1:4" x14ac:dyDescent="0.25">
      <c r="A2682" t="str">
        <f>T("   960720")</f>
        <v xml:space="preserve">   960720</v>
      </c>
      <c r="B2682" t="str">
        <f>T("   Parties de fermetures à glissière")</f>
        <v xml:space="preserve">   Parties de fermetures à glissière</v>
      </c>
      <c r="C2682">
        <v>5273</v>
      </c>
      <c r="D2682">
        <v>22</v>
      </c>
    </row>
    <row r="2683" spans="1:4" x14ac:dyDescent="0.25">
      <c r="A2683" t="str">
        <f>T("   960810")</f>
        <v xml:space="preserve">   960810</v>
      </c>
      <c r="B2683" t="str">
        <f>T("   Stylos et crayons à bille")</f>
        <v xml:space="preserve">   Stylos et crayons à bille</v>
      </c>
      <c r="C2683">
        <v>43167880</v>
      </c>
      <c r="D2683">
        <v>41504</v>
      </c>
    </row>
    <row r="2684" spans="1:4" x14ac:dyDescent="0.25">
      <c r="A2684" t="str">
        <f>T("   960820")</f>
        <v xml:space="preserve">   960820</v>
      </c>
      <c r="B2684" t="str">
        <f>T("   Stylos et marqueurs à mèche feutre ou à autres pointes poreuses")</f>
        <v xml:space="preserve">   Stylos et marqueurs à mèche feutre ou à autres pointes poreuses</v>
      </c>
      <c r="C2684">
        <v>7851308</v>
      </c>
      <c r="D2684">
        <v>6909</v>
      </c>
    </row>
    <row r="2685" spans="1:4" x14ac:dyDescent="0.25">
      <c r="A2685" t="str">
        <f>T("   960839")</f>
        <v xml:space="preserve">   960839</v>
      </c>
      <c r="B2685" t="str">
        <f>T("   Stylos à plume et autres stylos (autres qu'à dessiner à l'encre de Chine)")</f>
        <v xml:space="preserve">   Stylos à plume et autres stylos (autres qu'à dessiner à l'encre de Chine)</v>
      </c>
      <c r="C2685">
        <v>4784866</v>
      </c>
      <c r="D2685">
        <v>7846</v>
      </c>
    </row>
    <row r="2686" spans="1:4" x14ac:dyDescent="0.25">
      <c r="A2686" t="str">
        <f>T("   960840")</f>
        <v xml:space="preserve">   960840</v>
      </c>
      <c r="B2686" t="str">
        <f>T("   Porte-mine")</f>
        <v xml:space="preserve">   Porte-mine</v>
      </c>
      <c r="C2686">
        <v>566961</v>
      </c>
      <c r="D2686">
        <v>70</v>
      </c>
    </row>
    <row r="2687" spans="1:4" x14ac:dyDescent="0.25">
      <c r="A2687" t="str">
        <f>T("   960899")</f>
        <v xml:space="preserve">   960899</v>
      </c>
      <c r="B2687"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2687">
        <v>939047</v>
      </c>
      <c r="D2687">
        <v>3448</v>
      </c>
    </row>
    <row r="2688" spans="1:4" x14ac:dyDescent="0.25">
      <c r="A2688" t="str">
        <f>T("   960910")</f>
        <v xml:space="preserve">   960910</v>
      </c>
      <c r="B2688" t="str">
        <f>T("   Crayons à gaine")</f>
        <v xml:space="preserve">   Crayons à gaine</v>
      </c>
      <c r="C2688">
        <v>11371312</v>
      </c>
      <c r="D2688">
        <v>25431</v>
      </c>
    </row>
    <row r="2689" spans="1:4" x14ac:dyDescent="0.25">
      <c r="A2689" t="str">
        <f>T("   960990")</f>
        <v xml:space="preserve">   960990</v>
      </c>
      <c r="B2689" t="str">
        <f>T("   Crayons (sauf crayons à gaine), pastels, fusains, craies à écrire ou à dessiner et craies de tailleurs")</f>
        <v xml:space="preserve">   Crayons (sauf crayons à gaine), pastels, fusains, craies à écrire ou à dessiner et craies de tailleurs</v>
      </c>
      <c r="C2689">
        <v>8565023</v>
      </c>
      <c r="D2689">
        <v>11769</v>
      </c>
    </row>
    <row r="2690" spans="1:4" x14ac:dyDescent="0.25">
      <c r="A2690" t="str">
        <f>T("   961000")</f>
        <v xml:space="preserve">   961000</v>
      </c>
      <c r="B2690" t="str">
        <f>T("   Ardoises et tableaux pour l'écriture ou le dessin, même encadrés")</f>
        <v xml:space="preserve">   Ardoises et tableaux pour l'écriture ou le dessin, même encadrés</v>
      </c>
      <c r="C2690">
        <v>6654896</v>
      </c>
      <c r="D2690">
        <v>18710</v>
      </c>
    </row>
    <row r="2691" spans="1:4" x14ac:dyDescent="0.25">
      <c r="A2691" t="str">
        <f>T("   961310")</f>
        <v xml:space="preserve">   961310</v>
      </c>
      <c r="B2691" t="str">
        <f>T("   Briquets de poche, à gaz (non rechargeables)")</f>
        <v xml:space="preserve">   Briquets de poche, à gaz (non rechargeables)</v>
      </c>
      <c r="C2691">
        <v>372586</v>
      </c>
      <c r="D2691">
        <v>400</v>
      </c>
    </row>
    <row r="2692" spans="1:4" x14ac:dyDescent="0.25">
      <c r="A2692" t="str">
        <f>T("   961511")</f>
        <v xml:space="preserve">   961511</v>
      </c>
      <c r="B2692" t="str">
        <f>T("   PEIGNÉS À COIFFER, PEIGNÉS DE COIFFURE, BARRETTES ET ARTICLES SIMIL., EN CAOUTCHOUC DURCI OU EN MATIÈRES PLASTIQUES")</f>
        <v xml:space="preserve">   PEIGNÉS À COIFFER, PEIGNÉS DE COIFFURE, BARRETTES ET ARTICLES SIMIL., EN CAOUTCHOUC DURCI OU EN MATIÈRES PLASTIQUES</v>
      </c>
      <c r="C2692">
        <v>17940880</v>
      </c>
      <c r="D2692">
        <v>40540</v>
      </c>
    </row>
    <row r="2693" spans="1:4" x14ac:dyDescent="0.25">
      <c r="A2693" t="str">
        <f>T("   961519")</f>
        <v xml:space="preserve">   961519</v>
      </c>
      <c r="B2693" t="str">
        <f>T("   PEIGNÉS À COIFFER, PEIGNÉS DE COIFFURE, BARRETTES ET ARTICLES SIMIL., EN MATIÈRES (AUTRES QUE CAOUTCHOUC OU MATIÈRES PLASTIQUES)")</f>
        <v xml:space="preserve">   PEIGNÉS À COIFFER, PEIGNÉS DE COIFFURE, BARRETTES ET ARTICLES SIMIL., EN MATIÈRES (AUTRES QUE CAOUTCHOUC OU MATIÈRES PLASTIQUES)</v>
      </c>
      <c r="C2693">
        <v>3186370</v>
      </c>
      <c r="D2693">
        <v>16009</v>
      </c>
    </row>
    <row r="2694" spans="1:4" x14ac:dyDescent="0.25">
      <c r="A2694" t="str">
        <f>T("   961590")</f>
        <v xml:space="preserve">   961590</v>
      </c>
      <c r="B2694" t="str">
        <f>T("   Epingles à cheveux; pince-guiches, ondulateurs, bigoudis et articles pour la coiffure (autres que ceux du n° 8516); parties")</f>
        <v xml:space="preserve">   Epingles à cheveux; pince-guiches, ondulateurs, bigoudis et articles pour la coiffure (autres que ceux du n° 8516); parties</v>
      </c>
      <c r="C2694">
        <v>414159</v>
      </c>
      <c r="D2694">
        <v>1341</v>
      </c>
    </row>
    <row r="2695" spans="1:4" x14ac:dyDescent="0.25">
      <c r="A2695" t="str">
        <f>T("   961620")</f>
        <v xml:space="preserve">   961620</v>
      </c>
      <c r="B2695" t="str">
        <f>T("   Houppes et houppettes à poudre ou pour l'application d'autres cosmétiques ou produits de toilette")</f>
        <v xml:space="preserve">   Houppes et houppettes à poudre ou pour l'application d'autres cosmétiques ou produits de toilette</v>
      </c>
      <c r="C2695">
        <v>352323</v>
      </c>
      <c r="D2695">
        <v>200</v>
      </c>
    </row>
    <row r="2696" spans="1:4" x14ac:dyDescent="0.25">
      <c r="A2696" t="str">
        <f>T("   961700")</f>
        <v xml:space="preserve">   961700</v>
      </c>
      <c r="B2696"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2696">
        <v>22700760</v>
      </c>
      <c r="D2696">
        <v>57661</v>
      </c>
    </row>
    <row r="2697" spans="1:4" x14ac:dyDescent="0.25">
      <c r="A2697" t="str">
        <f>T("   961800")</f>
        <v xml:space="preserve">   961800</v>
      </c>
      <c r="B2697"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2697">
        <v>5060959</v>
      </c>
      <c r="D2697">
        <v>17114</v>
      </c>
    </row>
    <row r="2698" spans="1:4" x14ac:dyDescent="0.25">
      <c r="A2698" t="str">
        <f>T("   970190")</f>
        <v xml:space="preserve">   970190</v>
      </c>
      <c r="B2698" t="str">
        <f>T("   Collages et tableautins simil.")</f>
        <v xml:space="preserve">   Collages et tableautins simil.</v>
      </c>
      <c r="C2698">
        <v>4004606</v>
      </c>
      <c r="D2698">
        <v>6387</v>
      </c>
    </row>
    <row r="2699" spans="1:4" x14ac:dyDescent="0.25">
      <c r="A2699" t="str">
        <f>T("   970200")</f>
        <v xml:space="preserve">   970200</v>
      </c>
      <c r="B2699" t="str">
        <f>T("   Gravures, estampes et lithographies originales")</f>
        <v xml:space="preserve">   Gravures, estampes et lithographies originales</v>
      </c>
      <c r="C2699">
        <v>12204252</v>
      </c>
      <c r="D2699">
        <v>22000</v>
      </c>
    </row>
    <row r="2700" spans="1:4" x14ac:dyDescent="0.25">
      <c r="A2700" t="str">
        <f>T("CO")</f>
        <v>CO</v>
      </c>
      <c r="B2700" t="str">
        <f>T("Colombie")</f>
        <v>Colombie</v>
      </c>
    </row>
    <row r="2701" spans="1:4" x14ac:dyDescent="0.25">
      <c r="A2701" t="str">
        <f>T("   ZZ_Total_Produit_SH6")</f>
        <v xml:space="preserve">   ZZ_Total_Produit_SH6</v>
      </c>
      <c r="B2701" t="str">
        <f>T("   ZZ_Total_Produit_SH6")</f>
        <v xml:space="preserve">   ZZ_Total_Produit_SH6</v>
      </c>
      <c r="C2701">
        <v>1175300970.0369999</v>
      </c>
      <c r="D2701">
        <v>31713460</v>
      </c>
    </row>
    <row r="2702" spans="1:4" x14ac:dyDescent="0.25">
      <c r="A2702" t="str">
        <f>T("   170199")</f>
        <v xml:space="preserve">   170199</v>
      </c>
      <c r="B2702"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2702">
        <v>28522446.037</v>
      </c>
      <c r="D2702">
        <v>120000</v>
      </c>
    </row>
    <row r="2703" spans="1:4" x14ac:dyDescent="0.25">
      <c r="A2703" t="str">
        <f>T("   170410")</f>
        <v xml:space="preserve">   170410</v>
      </c>
      <c r="B2703" t="str">
        <f>T("   Gommes à mâcher [chewing-gum], même enrobées de sucre")</f>
        <v xml:space="preserve">   Gommes à mâcher [chewing-gum], même enrobées de sucre</v>
      </c>
      <c r="C2703">
        <v>12802959</v>
      </c>
      <c r="D2703">
        <v>25511</v>
      </c>
    </row>
    <row r="2704" spans="1:4" x14ac:dyDescent="0.25">
      <c r="A2704" t="str">
        <f>T("   170490")</f>
        <v xml:space="preserve">   170490</v>
      </c>
      <c r="B2704" t="str">
        <f>T("   Sucreries sans cacao, y.c. le chocolat blanc (à l'excl. des gommes à mâcher)")</f>
        <v xml:space="preserve">   Sucreries sans cacao, y.c. le chocolat blanc (à l'excl. des gommes à mâcher)</v>
      </c>
      <c r="C2704">
        <v>31475215</v>
      </c>
      <c r="D2704">
        <v>67939</v>
      </c>
    </row>
    <row r="2705" spans="1:4" x14ac:dyDescent="0.25">
      <c r="A2705" t="str">
        <f>T("   252310")</f>
        <v xml:space="preserve">   252310</v>
      </c>
      <c r="B2705" t="str">
        <f>T("   Ciments non pulvérisés dits 'clinkers'")</f>
        <v xml:space="preserve">   Ciments non pulvérisés dits 'clinkers'</v>
      </c>
      <c r="C2705">
        <v>1102500350</v>
      </c>
      <c r="D2705">
        <v>31500010</v>
      </c>
    </row>
    <row r="2706" spans="1:4" x14ac:dyDescent="0.25">
      <c r="A2706" t="str">
        <f>T("CU")</f>
        <v>CU</v>
      </c>
      <c r="B2706" t="str">
        <f>T("Cuba")</f>
        <v>Cuba</v>
      </c>
    </row>
    <row r="2707" spans="1:4" x14ac:dyDescent="0.25">
      <c r="A2707" t="str">
        <f>T("   ZZ_Total_Produit_SH6")</f>
        <v xml:space="preserve">   ZZ_Total_Produit_SH6</v>
      </c>
      <c r="B2707" t="str">
        <f>T("   ZZ_Total_Produit_SH6")</f>
        <v xml:space="preserve">   ZZ_Total_Produit_SH6</v>
      </c>
      <c r="C2707">
        <v>14763083</v>
      </c>
      <c r="D2707">
        <v>13600</v>
      </c>
    </row>
    <row r="2708" spans="1:4" x14ac:dyDescent="0.25">
      <c r="A2708" t="str">
        <f>T("   620590")</f>
        <v xml:space="preserve">   620590</v>
      </c>
      <c r="B270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708">
        <v>2100000</v>
      </c>
      <c r="D2708">
        <v>3000</v>
      </c>
    </row>
    <row r="2709" spans="1:4" x14ac:dyDescent="0.25">
      <c r="A2709" t="str">
        <f>T("   732394")</f>
        <v xml:space="preserve">   732394</v>
      </c>
      <c r="B2709" t="s">
        <v>362</v>
      </c>
      <c r="C2709">
        <v>1600000</v>
      </c>
      <c r="D2709">
        <v>2800</v>
      </c>
    </row>
    <row r="2710" spans="1:4" x14ac:dyDescent="0.25">
      <c r="A2710" t="str">
        <f>T("   870323")</f>
        <v xml:space="preserve">   870323</v>
      </c>
      <c r="B2710" t="s">
        <v>473</v>
      </c>
      <c r="C2710">
        <v>7763083</v>
      </c>
      <c r="D2710">
        <v>1700</v>
      </c>
    </row>
    <row r="2711" spans="1:4" x14ac:dyDescent="0.25">
      <c r="A2711" t="str">
        <f>T("   940350")</f>
        <v xml:space="preserve">   940350</v>
      </c>
      <c r="B2711" t="str">
        <f>T("   Meubles pour chambres à coucher, en bois (sauf sièges)")</f>
        <v xml:space="preserve">   Meubles pour chambres à coucher, en bois (sauf sièges)</v>
      </c>
      <c r="C2711">
        <v>3300000</v>
      </c>
      <c r="D2711">
        <v>6100</v>
      </c>
    </row>
    <row r="2712" spans="1:4" x14ac:dyDescent="0.25">
      <c r="A2712" t="str">
        <f>T("CY")</f>
        <v>CY</v>
      </c>
      <c r="B2712" t="str">
        <f>T("Chypre")</f>
        <v>Chypre</v>
      </c>
    </row>
    <row r="2713" spans="1:4" x14ac:dyDescent="0.25">
      <c r="A2713" t="str">
        <f>T("   ZZ_Total_Produit_SH6")</f>
        <v xml:space="preserve">   ZZ_Total_Produit_SH6</v>
      </c>
      <c r="B2713" t="str">
        <f>T("   ZZ_Total_Produit_SH6")</f>
        <v xml:space="preserve">   ZZ_Total_Produit_SH6</v>
      </c>
      <c r="C2713">
        <v>48129934</v>
      </c>
      <c r="D2713">
        <v>74197</v>
      </c>
    </row>
    <row r="2714" spans="1:4" x14ac:dyDescent="0.25">
      <c r="A2714" t="str">
        <f>T("   020727")</f>
        <v xml:space="preserve">   020727</v>
      </c>
      <c r="B2714" t="str">
        <f>T("   Morceaux et abats comestibles de dindes et dindons [des espèces domestiques], congelés")</f>
        <v xml:space="preserve">   Morceaux et abats comestibles de dindes et dindons [des espèces domestiques], congelés</v>
      </c>
      <c r="C2714">
        <v>15562651</v>
      </c>
      <c r="D2714">
        <v>25000</v>
      </c>
    </row>
    <row r="2715" spans="1:4" x14ac:dyDescent="0.25">
      <c r="A2715" t="str">
        <f>T("   200919")</f>
        <v xml:space="preserve">   200919</v>
      </c>
      <c r="B2715"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2715">
        <v>2521135</v>
      </c>
      <c r="D2715">
        <v>10819</v>
      </c>
    </row>
    <row r="2716" spans="1:4" x14ac:dyDescent="0.25">
      <c r="A2716" t="str">
        <f>T("   200929")</f>
        <v xml:space="preserve">   200929</v>
      </c>
      <c r="B2716" t="str">
        <f>T("   JUS DE PAMPLEMOUSSE OU DE POMELO, NON-FERMENTÉS, SANS ADDITION D'ALCOOL, AVEC OU SANS ADDITION DE SUCRE OU D'AUTRES ÉDULCORANTS, D'UNE VALEUR BRIX &gt; 20 À 20°C")</f>
        <v xml:space="preserve">   JUS DE PAMPLEMOUSSE OU DE POMELO, NON-FERMENTÉS, SANS ADDITION D'ALCOOL, AVEC OU SANS ADDITION DE SUCRE OU D'AUTRES ÉDULCORANTS, D'UNE VALEUR BRIX &gt; 20 À 20°C</v>
      </c>
      <c r="C2716">
        <v>127676</v>
      </c>
      <c r="D2716">
        <v>462</v>
      </c>
    </row>
    <row r="2717" spans="1:4" x14ac:dyDescent="0.25">
      <c r="A2717" t="str">
        <f>T("   200949")</f>
        <v xml:space="preserve">   200949</v>
      </c>
      <c r="B2717"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2717">
        <v>780285</v>
      </c>
      <c r="D2717">
        <v>3078</v>
      </c>
    </row>
    <row r="2718" spans="1:4" x14ac:dyDescent="0.25">
      <c r="A2718" t="str">
        <f>T("   200950")</f>
        <v xml:space="preserve">   200950</v>
      </c>
      <c r="B2718" t="str">
        <f>T("   JUS DE TOMATE, NON-FERMENTÉS, SANS ADDITION D'ALCOOL, AVEC OU SANS ADDITION DE SUCRE OU D'AUTRES ÉDULCORANTS")</f>
        <v xml:space="preserve">   JUS DE TOMATE, NON-FERMENTÉS, SANS ADDITION D'ALCOOL, AVEC OU SANS ADDITION DE SUCRE OU D'AUTRES ÉDULCORANTS</v>
      </c>
      <c r="C2718">
        <v>135194</v>
      </c>
      <c r="D2718">
        <v>620</v>
      </c>
    </row>
    <row r="2719" spans="1:4" x14ac:dyDescent="0.25">
      <c r="A2719" t="str">
        <f>T("   200969")</f>
        <v xml:space="preserve">   200969</v>
      </c>
      <c r="B2719"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2719">
        <v>1265576</v>
      </c>
      <c r="D2719">
        <v>4697</v>
      </c>
    </row>
    <row r="2720" spans="1:4" x14ac:dyDescent="0.25">
      <c r="A2720" t="str">
        <f>T("   200979")</f>
        <v xml:space="preserve">   200979</v>
      </c>
      <c r="B2720"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2720">
        <v>779472</v>
      </c>
      <c r="D2720">
        <v>3078</v>
      </c>
    </row>
    <row r="2721" spans="1:4" x14ac:dyDescent="0.25">
      <c r="A2721" t="str">
        <f>T("   200980")</f>
        <v xml:space="preserve">   200980</v>
      </c>
      <c r="B2721"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2721">
        <v>2047979</v>
      </c>
      <c r="D2721">
        <v>7581</v>
      </c>
    </row>
    <row r="2722" spans="1:4" x14ac:dyDescent="0.25">
      <c r="A2722" t="str">
        <f>T("   200990")</f>
        <v xml:space="preserve">   200990</v>
      </c>
      <c r="B2722"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2722">
        <v>1478844</v>
      </c>
      <c r="D2722">
        <v>5412</v>
      </c>
    </row>
    <row r="2723" spans="1:4" x14ac:dyDescent="0.25">
      <c r="A2723" t="str">
        <f>T("   220290")</f>
        <v xml:space="preserve">   220290</v>
      </c>
      <c r="B2723" t="str">
        <f>T("   BOISSONS NON-ALCOOLIQUES (À L'EXCL. DES EAUX, DES JUS DE FRUITS OU DE LÉGUMES AINSI QUE DU LAIT)")</f>
        <v xml:space="preserve">   BOISSONS NON-ALCOOLIQUES (À L'EXCL. DES EAUX, DES JUS DE FRUITS OU DE LÉGUMES AINSI QUE DU LAIT)</v>
      </c>
      <c r="C2723">
        <v>325973</v>
      </c>
      <c r="D2723">
        <v>1496</v>
      </c>
    </row>
    <row r="2724" spans="1:4" x14ac:dyDescent="0.25">
      <c r="A2724" t="str">
        <f>T("   321511")</f>
        <v xml:space="preserve">   321511</v>
      </c>
      <c r="B2724" t="str">
        <f>T("   Encres d'imprimerie, noires, même concentrées ou sous formes solides")</f>
        <v xml:space="preserve">   Encres d'imprimerie, noires, même concentrées ou sous formes solides</v>
      </c>
      <c r="C2724">
        <v>338900</v>
      </c>
      <c r="D2724">
        <v>173</v>
      </c>
    </row>
    <row r="2725" spans="1:4" x14ac:dyDescent="0.25">
      <c r="A2725" t="str">
        <f>T("   321519")</f>
        <v xml:space="preserve">   321519</v>
      </c>
      <c r="B2725" t="str">
        <f>T("   Encres d'imprimerie, même concentrées ou sous formes solides (à l'excl. des encres noires)")</f>
        <v xml:space="preserve">   Encres d'imprimerie, même concentrées ou sous formes solides (à l'excl. des encres noires)</v>
      </c>
      <c r="C2725">
        <v>1083810</v>
      </c>
      <c r="D2725">
        <v>489</v>
      </c>
    </row>
    <row r="2726" spans="1:4" x14ac:dyDescent="0.25">
      <c r="A2726" t="str">
        <f>T("   370310")</f>
        <v xml:space="preserve">   370310</v>
      </c>
      <c r="B2726" t="str">
        <f>T("   Papiers, cartons et textiles, photographiques, sensibilisés, non impressionnés, en rouleaux, d'une largeur &gt; 610 mm")</f>
        <v xml:space="preserve">   Papiers, cartons et textiles, photographiques, sensibilisés, non impressionnés, en rouleaux, d'une largeur &gt; 610 mm</v>
      </c>
      <c r="C2726">
        <v>3580265</v>
      </c>
      <c r="D2726">
        <v>6585</v>
      </c>
    </row>
    <row r="2727" spans="1:4" x14ac:dyDescent="0.25">
      <c r="A2727" t="str">
        <f>T("   381400")</f>
        <v xml:space="preserve">   381400</v>
      </c>
      <c r="B2727"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2727">
        <v>169690</v>
      </c>
      <c r="D2727">
        <v>27</v>
      </c>
    </row>
    <row r="2728" spans="1:4" x14ac:dyDescent="0.25">
      <c r="A2728" t="str">
        <f>T("   392049")</f>
        <v xml:space="preserve">   392049</v>
      </c>
      <c r="B2728" t="s">
        <v>131</v>
      </c>
      <c r="C2728">
        <v>2753866</v>
      </c>
      <c r="D2728">
        <v>1726</v>
      </c>
    </row>
    <row r="2729" spans="1:4" x14ac:dyDescent="0.25">
      <c r="A2729" t="str">
        <f>T("   850440")</f>
        <v xml:space="preserve">   850440</v>
      </c>
      <c r="B2729" t="str">
        <f>T("   CONVERTISSEURS STATIQUES")</f>
        <v xml:space="preserve">   CONVERTISSEURS STATIQUES</v>
      </c>
      <c r="C2729">
        <v>10066</v>
      </c>
      <c r="D2729">
        <v>2.5</v>
      </c>
    </row>
    <row r="2730" spans="1:4" x14ac:dyDescent="0.25">
      <c r="A2730" t="str">
        <f>T("   852499")</f>
        <v xml:space="preserve">   852499</v>
      </c>
      <c r="B2730" t="s">
        <v>460</v>
      </c>
      <c r="C2730">
        <v>1692585</v>
      </c>
      <c r="D2730">
        <v>269</v>
      </c>
    </row>
    <row r="2731" spans="1:4" x14ac:dyDescent="0.25">
      <c r="A2731" t="str">
        <f>T("   852910")</f>
        <v xml:space="preserve">   852910</v>
      </c>
      <c r="B2731"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2731">
        <v>13020105</v>
      </c>
      <c r="D2731">
        <v>2512</v>
      </c>
    </row>
    <row r="2732" spans="1:4" x14ac:dyDescent="0.25">
      <c r="A2732" t="str">
        <f>T("   852990")</f>
        <v xml:space="preserve">   852990</v>
      </c>
      <c r="B2732" t="s">
        <v>464</v>
      </c>
      <c r="C2732">
        <v>359992</v>
      </c>
      <c r="D2732">
        <v>45.5</v>
      </c>
    </row>
    <row r="2733" spans="1:4" x14ac:dyDescent="0.25">
      <c r="A2733" t="str">
        <f>T("   940380")</f>
        <v xml:space="preserve">   940380</v>
      </c>
      <c r="B2733" t="str">
        <f>T("   Meubles en rotin, osier, bambou ou autres matières (sauf métal, bois et matières plastiques)")</f>
        <v xml:space="preserve">   Meubles en rotin, osier, bambou ou autres matières (sauf métal, bois et matières plastiques)</v>
      </c>
      <c r="C2733">
        <v>95870</v>
      </c>
      <c r="D2733">
        <v>125</v>
      </c>
    </row>
    <row r="2734" spans="1:4" x14ac:dyDescent="0.25">
      <c r="A2734" t="str">
        <f>T("CZ")</f>
        <v>CZ</v>
      </c>
      <c r="B2734" t="str">
        <f>T("Tchèque, République")</f>
        <v>Tchèque, République</v>
      </c>
    </row>
    <row r="2735" spans="1:4" x14ac:dyDescent="0.25">
      <c r="A2735" t="str">
        <f>T("   ZZ_Total_Produit_SH6")</f>
        <v xml:space="preserve">   ZZ_Total_Produit_SH6</v>
      </c>
      <c r="B2735" t="str">
        <f>T("   ZZ_Total_Produit_SH6")</f>
        <v xml:space="preserve">   ZZ_Total_Produit_SH6</v>
      </c>
      <c r="C2735">
        <v>3248377781</v>
      </c>
      <c r="D2735">
        <v>5960354</v>
      </c>
    </row>
    <row r="2736" spans="1:4" x14ac:dyDescent="0.25">
      <c r="A2736" t="str">
        <f>T("   020712")</f>
        <v xml:space="preserve">   020712</v>
      </c>
      <c r="B2736" t="str">
        <f>T("   COQS ET POULES [DES ESPÈCES DOMESTIQUES], NON-DÉCOUPÉS EN MORCEAUX, CONGELÉS")</f>
        <v xml:space="preserve">   COQS ET POULES [DES ESPÈCES DOMESTIQUES], NON-DÉCOUPÉS EN MORCEAUX, CONGELÉS</v>
      </c>
      <c r="C2736">
        <v>953175051</v>
      </c>
      <c r="D2736">
        <v>1572700</v>
      </c>
    </row>
    <row r="2737" spans="1:4" x14ac:dyDescent="0.25">
      <c r="A2737" t="str">
        <f>T("   020714")</f>
        <v xml:space="preserve">   020714</v>
      </c>
      <c r="B2737" t="str">
        <f>T("   Morceaux et abats comestibles de coqs et de poules [des espèces domestiques], congelés")</f>
        <v xml:space="preserve">   Morceaux et abats comestibles de coqs et de poules [des espèces domestiques], congelés</v>
      </c>
      <c r="C2737">
        <v>615023899</v>
      </c>
      <c r="D2737">
        <v>1006350</v>
      </c>
    </row>
    <row r="2738" spans="1:4" x14ac:dyDescent="0.25">
      <c r="A2738" t="str">
        <f>T("   020727")</f>
        <v xml:space="preserve">   020727</v>
      </c>
      <c r="B2738" t="str">
        <f>T("   Morceaux et abats comestibles de dindes et dindons [des espèces domestiques], congelés")</f>
        <v xml:space="preserve">   Morceaux et abats comestibles de dindes et dindons [des espèces domestiques], congelés</v>
      </c>
      <c r="C2738">
        <v>1117479782</v>
      </c>
      <c r="D2738">
        <v>1858089</v>
      </c>
    </row>
    <row r="2739" spans="1:4" x14ac:dyDescent="0.25">
      <c r="A2739" t="str">
        <f>T("   020736")</f>
        <v xml:space="preserve">   020736</v>
      </c>
      <c r="B2739" t="str">
        <f>T("   Morceaux et abats comestibles de canards, d'oies ou de pintades [des espèces domestiques], congelés (à l'excl. des foies gras)")</f>
        <v xml:space="preserve">   Morceaux et abats comestibles de canards, d'oies ou de pintades [des espèces domestiques], congelés (à l'excl. des foies gras)</v>
      </c>
      <c r="C2739">
        <v>9835064</v>
      </c>
      <c r="D2739">
        <v>26750</v>
      </c>
    </row>
    <row r="2740" spans="1:4" x14ac:dyDescent="0.25">
      <c r="A2740" t="str">
        <f>T("   030269")</f>
        <v xml:space="preserve">   030269</v>
      </c>
      <c r="B2740" t="s">
        <v>16</v>
      </c>
      <c r="C2740">
        <v>6300496</v>
      </c>
      <c r="D2740">
        <v>28000</v>
      </c>
    </row>
    <row r="2741" spans="1:4" x14ac:dyDescent="0.25">
      <c r="A2741" t="str">
        <f>T("   030379")</f>
        <v xml:space="preserve">   030379</v>
      </c>
      <c r="B2741" t="s">
        <v>17</v>
      </c>
      <c r="C2741">
        <v>150063313</v>
      </c>
      <c r="D2741">
        <v>850600</v>
      </c>
    </row>
    <row r="2742" spans="1:4" x14ac:dyDescent="0.25">
      <c r="A2742" t="str">
        <f>T("   491110")</f>
        <v xml:space="preserve">   491110</v>
      </c>
      <c r="B2742" t="str">
        <f>T("   Imprimés publicitaires, catalogues commerciaux et simil.")</f>
        <v xml:space="preserve">   Imprimés publicitaires, catalogues commerciaux et simil.</v>
      </c>
      <c r="C2742">
        <v>1968</v>
      </c>
      <c r="D2742">
        <v>3</v>
      </c>
    </row>
    <row r="2743" spans="1:4" x14ac:dyDescent="0.25">
      <c r="A2743" t="str">
        <f>T("   511211")</f>
        <v xml:space="preserve">   511211</v>
      </c>
      <c r="B2743" t="str">
        <f>T("   Tissus de laine peignée ou de poils fins peignés, contenant &gt;= 85% en poids de laine ou de poils fins, d'un poids &lt;= 200 g/m²")</f>
        <v xml:space="preserve">   Tissus de laine peignée ou de poils fins peignés, contenant &gt;= 85% en poids de laine ou de poils fins, d'un poids &lt;= 200 g/m²</v>
      </c>
      <c r="C2743">
        <v>2085953</v>
      </c>
      <c r="D2743">
        <v>1511</v>
      </c>
    </row>
    <row r="2744" spans="1:4" x14ac:dyDescent="0.25">
      <c r="A2744" t="str">
        <f>T("   520819")</f>
        <v xml:space="preserve">   520819</v>
      </c>
      <c r="B2744" t="str">
        <f>T("   Tissus de coton, écrus, contenant &gt;= 85% en poids de coton, d'un poids &lt;= 200 g/m² (à l'excl. des tissus à armure toile ou à armure sergé [y.c. le croisé] d'un rapport d'armure &lt;= 4)")</f>
        <v xml:space="preserve">   Tissus de coton, écrus, contenant &gt;= 85% en poids de coton, d'un poids &lt;= 200 g/m² (à l'excl. des tissus à armure toile ou à armure sergé [y.c. le croisé] d'un rapport d'armure &lt;= 4)</v>
      </c>
      <c r="C2744">
        <v>2028884</v>
      </c>
      <c r="D2744">
        <v>3120</v>
      </c>
    </row>
    <row r="2745" spans="1:4" x14ac:dyDescent="0.25">
      <c r="A2745" t="str">
        <f>T("   520829")</f>
        <v xml:space="preserve">   520829</v>
      </c>
      <c r="B2745"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2745">
        <v>50244567</v>
      </c>
      <c r="D2745">
        <v>12074</v>
      </c>
    </row>
    <row r="2746" spans="1:4" x14ac:dyDescent="0.25">
      <c r="A2746" t="str">
        <f>T("   520859")</f>
        <v xml:space="preserve">   520859</v>
      </c>
      <c r="B2746" t="str">
        <f>T("   TISSUS DE COTON, IMPRIMÉS, CONTENANT &gt;= 85% EN POIDS DE COTON, D'UN POIDS &lt;= 200 G/M² (À L'EXCL. DES TISSUS À ARMURE TOILE)")</f>
        <v xml:space="preserve">   TISSUS DE COTON, IMPRIMÉS, CONTENANT &gt;= 85% EN POIDS DE COTON, D'UN POIDS &lt;= 200 G/M² (À L'EXCL. DES TISSUS À ARMURE TOILE)</v>
      </c>
      <c r="C2746">
        <v>33537268</v>
      </c>
      <c r="D2746">
        <v>10158</v>
      </c>
    </row>
    <row r="2747" spans="1:4" x14ac:dyDescent="0.25">
      <c r="A2747" t="str">
        <f>T("   521019")</f>
        <v xml:space="preserve">   521019</v>
      </c>
      <c r="B2747" t="s">
        <v>220</v>
      </c>
      <c r="C2747">
        <v>7795429</v>
      </c>
      <c r="D2747">
        <v>7711</v>
      </c>
    </row>
    <row r="2748" spans="1:4" x14ac:dyDescent="0.25">
      <c r="A2748" t="str">
        <f>T("   630900")</f>
        <v xml:space="preserve">   630900</v>
      </c>
      <c r="B2748" t="s">
        <v>273</v>
      </c>
      <c r="C2748">
        <v>291360939</v>
      </c>
      <c r="D2748">
        <v>563134</v>
      </c>
    </row>
    <row r="2749" spans="1:4" x14ac:dyDescent="0.25">
      <c r="A2749" t="str">
        <f>T("   701690")</f>
        <v xml:space="preserve">   701690</v>
      </c>
      <c r="B2749" t="s">
        <v>328</v>
      </c>
      <c r="C2749">
        <v>6054511</v>
      </c>
      <c r="D2749">
        <v>19903</v>
      </c>
    </row>
    <row r="2750" spans="1:4" x14ac:dyDescent="0.25">
      <c r="A2750" t="str">
        <f>T("   702000")</f>
        <v xml:space="preserve">   702000</v>
      </c>
      <c r="B2750" t="str">
        <f>T("   Ouvrages en verre n.d.a.")</f>
        <v xml:space="preserve">   Ouvrages en verre n.d.a.</v>
      </c>
      <c r="C2750">
        <v>36078</v>
      </c>
      <c r="D2750">
        <v>219</v>
      </c>
    </row>
    <row r="2751" spans="1:4" x14ac:dyDescent="0.25">
      <c r="A2751" t="str">
        <f>T("   845290")</f>
        <v xml:space="preserve">   845290</v>
      </c>
      <c r="B2751" t="str">
        <f>T("   Parties de machines à coudre, n.d.a.")</f>
        <v xml:space="preserve">   Parties de machines à coudre, n.d.a.</v>
      </c>
      <c r="C2751">
        <v>41981</v>
      </c>
      <c r="D2751">
        <v>31</v>
      </c>
    </row>
    <row r="2752" spans="1:4" x14ac:dyDescent="0.25">
      <c r="A2752" t="str">
        <f>T("   852330")</f>
        <v xml:space="preserve">   852330</v>
      </c>
      <c r="B2752" t="str">
        <f>T("   Cartes munies d'une piste magnétique non enregistrée")</f>
        <v xml:space="preserve">   Cartes munies d'une piste magnétique non enregistrée</v>
      </c>
      <c r="C2752">
        <v>3312598</v>
      </c>
      <c r="D2752">
        <v>1</v>
      </c>
    </row>
    <row r="2753" spans="1:4" x14ac:dyDescent="0.25">
      <c r="A2753" t="str">
        <f>T("DE")</f>
        <v>DE</v>
      </c>
      <c r="B2753" t="str">
        <f>T("Allemagne")</f>
        <v>Allemagne</v>
      </c>
    </row>
    <row r="2754" spans="1:4" x14ac:dyDescent="0.25">
      <c r="A2754" t="str">
        <f>T("   ZZ_Total_Produit_SH6")</f>
        <v xml:space="preserve">   ZZ_Total_Produit_SH6</v>
      </c>
      <c r="B2754" t="str">
        <f>T("   ZZ_Total_Produit_SH6")</f>
        <v xml:space="preserve">   ZZ_Total_Produit_SH6</v>
      </c>
      <c r="C2754">
        <v>43243181989.916</v>
      </c>
      <c r="D2754">
        <v>118155528.53</v>
      </c>
    </row>
    <row r="2755" spans="1:4" x14ac:dyDescent="0.25">
      <c r="A2755" t="str">
        <f>T("   020712")</f>
        <v xml:space="preserve">   020712</v>
      </c>
      <c r="B2755" t="str">
        <f>T("   COQS ET POULES [DES ESPÈCES DOMESTIQUES], NON-DÉCOUPÉS EN MORCEAUX, CONGELÉS")</f>
        <v xml:space="preserve">   COQS ET POULES [DES ESPÈCES DOMESTIQUES], NON-DÉCOUPÉS EN MORCEAUX, CONGELÉS</v>
      </c>
      <c r="C2755">
        <v>32744867</v>
      </c>
      <c r="D2755">
        <v>52644</v>
      </c>
    </row>
    <row r="2756" spans="1:4" x14ac:dyDescent="0.25">
      <c r="A2756" t="str">
        <f>T("   020714")</f>
        <v xml:space="preserve">   020714</v>
      </c>
      <c r="B2756" t="str">
        <f>T("   Morceaux et abats comestibles de coqs et de poules [des espèces domestiques], congelés")</f>
        <v xml:space="preserve">   Morceaux et abats comestibles de coqs et de poules [des espèces domestiques], congelés</v>
      </c>
      <c r="C2756">
        <v>346721800</v>
      </c>
      <c r="D2756">
        <v>586990</v>
      </c>
    </row>
    <row r="2757" spans="1:4" x14ac:dyDescent="0.25">
      <c r="A2757" t="str">
        <f>T("   020727")</f>
        <v xml:space="preserve">   020727</v>
      </c>
      <c r="B2757" t="str">
        <f>T("   Morceaux et abats comestibles de dindes et dindons [des espèces domestiques], congelés")</f>
        <v xml:space="preserve">   Morceaux et abats comestibles de dindes et dindons [des espèces domestiques], congelés</v>
      </c>
      <c r="C2757">
        <v>1024166183</v>
      </c>
      <c r="D2757">
        <v>1710917</v>
      </c>
    </row>
    <row r="2758" spans="1:4" x14ac:dyDescent="0.25">
      <c r="A2758" t="str">
        <f>T("   040110")</f>
        <v xml:space="preserve">   040110</v>
      </c>
      <c r="B2758" t="str">
        <f>T("   LAIT ET CRÈME DE LAIT, NON-CONCENTRÉS NI ADDITIONNÉS DE SUCRE OU D'AUTRES ÉDULCORANTS, D'UNE TENEUR EN POIDS DE MATIÈRES GRASSES &lt;= 1%")</f>
        <v xml:space="preserve">   LAIT ET CRÈME DE LAIT, NON-CONCENTRÉS NI ADDITIONNÉS DE SUCRE OU D'AUTRES ÉDULCORANTS, D'UNE TENEUR EN POIDS DE MATIÈRES GRASSES &lt;= 1%</v>
      </c>
      <c r="C2758">
        <v>342083</v>
      </c>
      <c r="D2758">
        <v>1090</v>
      </c>
    </row>
    <row r="2759" spans="1:4" x14ac:dyDescent="0.25">
      <c r="A2759" t="str">
        <f>T("   040120")</f>
        <v xml:space="preserve">   040120</v>
      </c>
      <c r="B2759"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2759">
        <v>26758890</v>
      </c>
      <c r="D2759">
        <v>83048</v>
      </c>
    </row>
    <row r="2760" spans="1:4" x14ac:dyDescent="0.25">
      <c r="A2760" t="str">
        <f>T("   040221")</f>
        <v xml:space="preserve">   040221</v>
      </c>
      <c r="B2760"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2760">
        <v>19586309</v>
      </c>
      <c r="D2760">
        <v>8052</v>
      </c>
    </row>
    <row r="2761" spans="1:4" x14ac:dyDescent="0.25">
      <c r="A2761" t="str">
        <f>T("   110100")</f>
        <v xml:space="preserve">   110100</v>
      </c>
      <c r="B2761" t="str">
        <f>T("   Farines de froment [blé] ou de méteil")</f>
        <v xml:space="preserve">   Farines de froment [blé] ou de méteil</v>
      </c>
      <c r="C2761">
        <v>72851558.915999994</v>
      </c>
      <c r="D2761">
        <v>276000</v>
      </c>
    </row>
    <row r="2762" spans="1:4" x14ac:dyDescent="0.25">
      <c r="A2762" t="str">
        <f>T("   110710")</f>
        <v xml:space="preserve">   110710</v>
      </c>
      <c r="B2762" t="str">
        <f>T("   MALT, NON-TORRÉFIÉ")</f>
        <v xml:space="preserve">   MALT, NON-TORRÉFIÉ</v>
      </c>
      <c r="C2762">
        <v>1492050626</v>
      </c>
      <c r="D2762">
        <v>3468043</v>
      </c>
    </row>
    <row r="2763" spans="1:4" x14ac:dyDescent="0.25">
      <c r="A2763" t="str">
        <f>T("   110720")</f>
        <v xml:space="preserve">   110720</v>
      </c>
      <c r="B2763" t="str">
        <f>T("   Malt, torréfié")</f>
        <v xml:space="preserve">   Malt, torréfié</v>
      </c>
      <c r="C2763">
        <v>671059330</v>
      </c>
      <c r="D2763">
        <v>1569928</v>
      </c>
    </row>
    <row r="2764" spans="1:4" x14ac:dyDescent="0.25">
      <c r="A2764" t="str">
        <f>T("   130213")</f>
        <v xml:space="preserve">   130213</v>
      </c>
      <c r="B2764" t="str">
        <f>T("   Extraits de houblon")</f>
        <v xml:space="preserve">   Extraits de houblon</v>
      </c>
      <c r="C2764">
        <v>46625420</v>
      </c>
      <c r="D2764">
        <v>1500</v>
      </c>
    </row>
    <row r="2765" spans="1:4" x14ac:dyDescent="0.25">
      <c r="A2765" t="str">
        <f>T("   130231")</f>
        <v xml:space="preserve">   130231</v>
      </c>
      <c r="B2765" t="str">
        <f>T("   Agar-agar, même modifié")</f>
        <v xml:space="preserve">   Agar-agar, même modifié</v>
      </c>
      <c r="C2765">
        <v>1232549</v>
      </c>
      <c r="D2765">
        <v>7</v>
      </c>
    </row>
    <row r="2766" spans="1:4" x14ac:dyDescent="0.25">
      <c r="A2766" t="str">
        <f>T("   151620")</f>
        <v xml:space="preserve">   151620</v>
      </c>
      <c r="B2766"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2766">
        <v>4400180</v>
      </c>
      <c r="D2766">
        <v>20298</v>
      </c>
    </row>
    <row r="2767" spans="1:4" x14ac:dyDescent="0.25">
      <c r="A2767" t="str">
        <f>T("   151800")</f>
        <v xml:space="preserve">   151800</v>
      </c>
      <c r="B2767" t="s">
        <v>38</v>
      </c>
      <c r="C2767">
        <v>10495</v>
      </c>
      <c r="D2767">
        <v>1</v>
      </c>
    </row>
    <row r="2768" spans="1:4" x14ac:dyDescent="0.25">
      <c r="A2768" t="str">
        <f>T("   190219")</f>
        <v xml:space="preserve">   190219</v>
      </c>
      <c r="B2768" t="str">
        <f>T("   PÂTES ALIMENTAIRES NON-CUITES NI FARCIES NI AUTREMENT PRÉPARÉES, NE CONTENANT PAS D'OEUFS")</f>
        <v xml:space="preserve">   PÂTES ALIMENTAIRES NON-CUITES NI FARCIES NI AUTREMENT PRÉPARÉES, NE CONTENANT PAS D'OEUFS</v>
      </c>
      <c r="C2768">
        <v>3245000</v>
      </c>
      <c r="D2768">
        <v>25600</v>
      </c>
    </row>
    <row r="2769" spans="1:4" x14ac:dyDescent="0.25">
      <c r="A2769" t="str">
        <f>T("   190531")</f>
        <v xml:space="preserve">   190531</v>
      </c>
      <c r="B2769" t="str">
        <f>T("   Biscuits additionnés d'édulcorants")</f>
        <v xml:space="preserve">   Biscuits additionnés d'édulcorants</v>
      </c>
      <c r="C2769">
        <v>17086077</v>
      </c>
      <c r="D2769">
        <v>16137</v>
      </c>
    </row>
    <row r="2770" spans="1:4" x14ac:dyDescent="0.25">
      <c r="A2770" t="str">
        <f>T("   190590")</f>
        <v xml:space="preserve">   190590</v>
      </c>
      <c r="B2770" t="s">
        <v>52</v>
      </c>
      <c r="C2770">
        <v>16399</v>
      </c>
      <c r="D2770">
        <v>25</v>
      </c>
    </row>
    <row r="2771" spans="1:4" x14ac:dyDescent="0.25">
      <c r="A2771" t="str">
        <f>T("   200540")</f>
        <v xml:space="preserve">   200540</v>
      </c>
      <c r="B2771" t="str">
        <f>T("   Pois [Pisum sativum], préparés ou conservés autrement qu'au vinaigre ou à l'acide acétique, non congelés")</f>
        <v xml:space="preserve">   Pois [Pisum sativum], préparés ou conservés autrement qu'au vinaigre ou à l'acide acétique, non congelés</v>
      </c>
      <c r="C2771">
        <v>7486203</v>
      </c>
      <c r="D2771">
        <v>18505</v>
      </c>
    </row>
    <row r="2772" spans="1:4" x14ac:dyDescent="0.25">
      <c r="A2772" t="str">
        <f>T("   200980")</f>
        <v xml:space="preserve">   200980</v>
      </c>
      <c r="B2772"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2772">
        <v>2961659</v>
      </c>
      <c r="D2772">
        <v>21335</v>
      </c>
    </row>
    <row r="2773" spans="1:4" x14ac:dyDescent="0.25">
      <c r="A2773" t="str">
        <f>T("   210210")</f>
        <v xml:space="preserve">   210210</v>
      </c>
      <c r="B2773" t="str">
        <f>T("   Levures vivantes")</f>
        <v xml:space="preserve">   Levures vivantes</v>
      </c>
      <c r="C2773">
        <v>1841845</v>
      </c>
      <c r="D2773">
        <v>26</v>
      </c>
    </row>
    <row r="2774" spans="1:4" x14ac:dyDescent="0.25">
      <c r="A2774" t="str">
        <f>T("   210420")</f>
        <v xml:space="preserve">   210420</v>
      </c>
      <c r="B2774" t="s">
        <v>60</v>
      </c>
      <c r="C2774">
        <v>300430</v>
      </c>
      <c r="D2774">
        <v>253</v>
      </c>
    </row>
    <row r="2775" spans="1:4" x14ac:dyDescent="0.25">
      <c r="A2775" t="str">
        <f>T("   210690")</f>
        <v xml:space="preserve">   210690</v>
      </c>
      <c r="B2775" t="str">
        <f>T("   Préparations alimentaires, n.d.a.")</f>
        <v xml:space="preserve">   Préparations alimentaires, n.d.a.</v>
      </c>
      <c r="C2775">
        <v>575925616</v>
      </c>
      <c r="D2775">
        <v>28295</v>
      </c>
    </row>
    <row r="2776" spans="1:4" x14ac:dyDescent="0.25">
      <c r="A2776" t="str">
        <f>T("   220210")</f>
        <v xml:space="preserve">   220210</v>
      </c>
      <c r="B2776"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2776">
        <v>3709453</v>
      </c>
      <c r="D2776">
        <v>18434</v>
      </c>
    </row>
    <row r="2777" spans="1:4" x14ac:dyDescent="0.25">
      <c r="A2777" t="str">
        <f>T("   220290")</f>
        <v xml:space="preserve">   220290</v>
      </c>
      <c r="B2777" t="str">
        <f>T("   BOISSONS NON-ALCOOLIQUES (À L'EXCL. DES EAUX, DES JUS DE FRUITS OU DE LÉGUMES AINSI QUE DU LAIT)")</f>
        <v xml:space="preserve">   BOISSONS NON-ALCOOLIQUES (À L'EXCL. DES EAUX, DES JUS DE FRUITS OU DE LÉGUMES AINSI QUE DU LAIT)</v>
      </c>
      <c r="C2777">
        <v>61092239</v>
      </c>
      <c r="D2777">
        <v>243414</v>
      </c>
    </row>
    <row r="2778" spans="1:4" x14ac:dyDescent="0.25">
      <c r="A2778" t="str">
        <f>T("   220300")</f>
        <v xml:space="preserve">   220300</v>
      </c>
      <c r="B2778" t="str">
        <f>T("   Bières de malt")</f>
        <v xml:space="preserve">   Bières de malt</v>
      </c>
      <c r="C2778">
        <v>72023094</v>
      </c>
      <c r="D2778">
        <v>260400</v>
      </c>
    </row>
    <row r="2779" spans="1:4" x14ac:dyDescent="0.25">
      <c r="A2779" t="str">
        <f>T("   220710")</f>
        <v xml:space="preserve">   220710</v>
      </c>
      <c r="B2779" t="str">
        <f>T("   Alcool éthylique non dénaturé d'un titre alcoométrique volumique &gt;= 80% vol")</f>
        <v xml:space="preserve">   Alcool éthylique non dénaturé d'un titre alcoométrique volumique &gt;= 80% vol</v>
      </c>
      <c r="C2779">
        <v>578557</v>
      </c>
      <c r="D2779">
        <v>3</v>
      </c>
    </row>
    <row r="2780" spans="1:4" x14ac:dyDescent="0.25">
      <c r="A2780" t="str">
        <f>T("   220890")</f>
        <v xml:space="preserve">   220890</v>
      </c>
      <c r="B2780" t="s">
        <v>62</v>
      </c>
      <c r="C2780">
        <v>104299</v>
      </c>
      <c r="D2780">
        <v>450</v>
      </c>
    </row>
    <row r="2781" spans="1:4" x14ac:dyDescent="0.25">
      <c r="A2781" t="str">
        <f>T("   250820")</f>
        <v xml:space="preserve">   250820</v>
      </c>
      <c r="B2781" t="str">
        <f>T("   Terres décolorantes et terres à foulon")</f>
        <v xml:space="preserve">   Terres décolorantes et terres à foulon</v>
      </c>
      <c r="C2781">
        <v>25917635</v>
      </c>
      <c r="D2781">
        <v>55458</v>
      </c>
    </row>
    <row r="2782" spans="1:4" x14ac:dyDescent="0.25">
      <c r="A2782" t="str">
        <f>T("   251200")</f>
        <v xml:space="preserve">   251200</v>
      </c>
      <c r="B2782" t="str">
        <f>T("   Farines siliceuses fossiles [kieselguhr, tripolite, diatomite, par exemple] et autres terres siliceuses analogues, d'une densité apparente &lt;= 1, même calcinées")</f>
        <v xml:space="preserve">   Farines siliceuses fossiles [kieselguhr, tripolite, diatomite, par exemple] et autres terres siliceuses analogues, d'une densité apparente &lt;= 1, même calcinées</v>
      </c>
      <c r="C2782">
        <v>11742694</v>
      </c>
      <c r="D2782">
        <v>17556</v>
      </c>
    </row>
    <row r="2783" spans="1:4" x14ac:dyDescent="0.25">
      <c r="A2783" t="str">
        <f>T("   253090")</f>
        <v xml:space="preserve">   253090</v>
      </c>
      <c r="B2783" t="str">
        <f>T("   Sulfures d'arsenic, alunite, terre de pouzzolane, terres colorantes et autres matières minérales, n.d.a.")</f>
        <v xml:space="preserve">   Sulfures d'arsenic, alunite, terre de pouzzolane, terres colorantes et autres matières minérales, n.d.a.</v>
      </c>
      <c r="C2783">
        <v>2863921</v>
      </c>
      <c r="D2783">
        <v>10202</v>
      </c>
    </row>
    <row r="2784" spans="1:4" x14ac:dyDescent="0.25">
      <c r="A2784" t="str">
        <f>T("   271011")</f>
        <v xml:space="preserve">   271011</v>
      </c>
      <c r="B2784"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2784">
        <v>3369804956</v>
      </c>
      <c r="D2784">
        <v>9619345</v>
      </c>
    </row>
    <row r="2785" spans="1:4" x14ac:dyDescent="0.25">
      <c r="A2785" t="str">
        <f>T("   271019")</f>
        <v xml:space="preserve">   271019</v>
      </c>
      <c r="B2785" t="str">
        <f>T("   Huiles moyennes et préparations, de pétrole ou de minéraux bitumineux, n.d.a.")</f>
        <v xml:space="preserve">   Huiles moyennes et préparations, de pétrole ou de minéraux bitumineux, n.d.a.</v>
      </c>
      <c r="C2785">
        <v>16932160862</v>
      </c>
      <c r="D2785">
        <v>71286553</v>
      </c>
    </row>
    <row r="2786" spans="1:4" x14ac:dyDescent="0.25">
      <c r="A2786" t="str">
        <f>T("   271113")</f>
        <v xml:space="preserve">   271113</v>
      </c>
      <c r="B2786" t="str">
        <f>T("   Butanes, liquéfiés (à l'excl. des butanes d'une pureté &gt;= 95% en n-butane ou en isobutane)")</f>
        <v xml:space="preserve">   Butanes, liquéfiés (à l'excl. des butanes d'une pureté &gt;= 95% en n-butane ou en isobutane)</v>
      </c>
      <c r="C2786">
        <v>164904640</v>
      </c>
      <c r="D2786">
        <v>324451</v>
      </c>
    </row>
    <row r="2787" spans="1:4" x14ac:dyDescent="0.25">
      <c r="A2787" t="str">
        <f>T("   271210")</f>
        <v xml:space="preserve">   271210</v>
      </c>
      <c r="B2787" t="str">
        <f>T("   Vaseline")</f>
        <v xml:space="preserve">   Vaseline</v>
      </c>
      <c r="C2787">
        <v>13486538</v>
      </c>
      <c r="D2787">
        <v>17120</v>
      </c>
    </row>
    <row r="2788" spans="1:4" x14ac:dyDescent="0.25">
      <c r="A2788" t="str">
        <f>T("   271500")</f>
        <v xml:space="preserve">   271500</v>
      </c>
      <c r="B2788"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2788">
        <v>12972982</v>
      </c>
      <c r="D2788">
        <v>8000</v>
      </c>
    </row>
    <row r="2789" spans="1:4" x14ac:dyDescent="0.25">
      <c r="A2789" t="str">
        <f>T("   280610")</f>
        <v xml:space="preserve">   280610</v>
      </c>
      <c r="B2789" t="str">
        <f>T("   Chlorure d'hydrogène [acide chlorhydrique]")</f>
        <v xml:space="preserve">   Chlorure d'hydrogène [acide chlorhydrique]</v>
      </c>
      <c r="C2789">
        <v>3973805</v>
      </c>
      <c r="D2789">
        <v>38</v>
      </c>
    </row>
    <row r="2790" spans="1:4" x14ac:dyDescent="0.25">
      <c r="A2790" t="str">
        <f>T("   280700")</f>
        <v xml:space="preserve">   280700</v>
      </c>
      <c r="B2790" t="str">
        <f>T("   Acide sulfurique; oléum")</f>
        <v xml:space="preserve">   Acide sulfurique; oléum</v>
      </c>
      <c r="C2790">
        <v>191540</v>
      </c>
      <c r="D2790">
        <v>1</v>
      </c>
    </row>
    <row r="2791" spans="1:4" x14ac:dyDescent="0.25">
      <c r="A2791" t="str">
        <f>T("   281511")</f>
        <v xml:space="preserve">   281511</v>
      </c>
      <c r="B2791" t="str">
        <f>T("   Hydroxyde de sodium [soude caustique], solide")</f>
        <v xml:space="preserve">   Hydroxyde de sodium [soude caustique], solide</v>
      </c>
      <c r="C2791">
        <v>119877767</v>
      </c>
      <c r="D2791">
        <v>270974</v>
      </c>
    </row>
    <row r="2792" spans="1:4" x14ac:dyDescent="0.25">
      <c r="A2792" t="str">
        <f>T("   281520")</f>
        <v xml:space="preserve">   281520</v>
      </c>
      <c r="B2792" t="str">
        <f>T("   Hydroxyde de potassium [potasse caustique]")</f>
        <v xml:space="preserve">   Hydroxyde de potassium [potasse caustique]</v>
      </c>
      <c r="C2792">
        <v>314205</v>
      </c>
      <c r="D2792">
        <v>2</v>
      </c>
    </row>
    <row r="2793" spans="1:4" x14ac:dyDescent="0.25">
      <c r="A2793" t="str">
        <f>T("   282110")</f>
        <v xml:space="preserve">   282110</v>
      </c>
      <c r="B2793" t="str">
        <f>T("   Oxydes et hydroxydes de fer")</f>
        <v xml:space="preserve">   Oxydes et hydroxydes de fer</v>
      </c>
      <c r="C2793">
        <v>12503365</v>
      </c>
      <c r="D2793">
        <v>10054</v>
      </c>
    </row>
    <row r="2794" spans="1:4" x14ac:dyDescent="0.25">
      <c r="A2794" t="str">
        <f>T("   282690")</f>
        <v xml:space="preserve">   282690</v>
      </c>
      <c r="B2794" t="str">
        <f>T("   FLUOROSILICATES, FLUOROALUMINATES ET AUTRES SELS COMPLEXES DE FLUOR (À L'EXCL. DE L'HEXAFLUOROALUMINATE DE SODIUM [CRYOLITHE SYNTHÉTIQUE] AINSI QUE DES COMPOSÉS INORGANIQUES OU ORGANIQUES DU MERCURE)")</f>
        <v xml:space="preserve">   FLUOROSILICATES, FLUOROALUMINATES ET AUTRES SELS COMPLEXES DE FLUOR (À L'EXCL. DE L'HEXAFLUOROALUMINATE DE SODIUM [CRYOLITHE SYNTHÉTIQUE] AINSI QUE DES COMPOSÉS INORGANIQUES OU ORGANIQUES DU MERCURE)</v>
      </c>
      <c r="C2794">
        <v>689414</v>
      </c>
      <c r="D2794">
        <v>4</v>
      </c>
    </row>
    <row r="2795" spans="1:4" x14ac:dyDescent="0.25">
      <c r="A2795" t="str">
        <f>T("   283326")</f>
        <v xml:space="preserve">   283326</v>
      </c>
      <c r="B2795" t="str">
        <f>T("   SULFATE DE ZINC")</f>
        <v xml:space="preserve">   SULFATE DE ZINC</v>
      </c>
      <c r="C2795">
        <v>434775</v>
      </c>
      <c r="D2795">
        <v>24</v>
      </c>
    </row>
    <row r="2796" spans="1:4" x14ac:dyDescent="0.25">
      <c r="A2796" t="str">
        <f>T("   290219")</f>
        <v xml:space="preserve">   290219</v>
      </c>
      <c r="B2796" t="str">
        <f>T("   Hydrocarbures cyclaniques, cycléniques ou cycloterpéniques (à l'excl. du cyclohexane)")</f>
        <v xml:space="preserve">   Hydrocarbures cyclaniques, cycléniques ou cycloterpéniques (à l'excl. du cyclohexane)</v>
      </c>
      <c r="C2796">
        <v>2038068</v>
      </c>
      <c r="D2796">
        <v>34</v>
      </c>
    </row>
    <row r="2797" spans="1:4" x14ac:dyDescent="0.25">
      <c r="A2797" t="str">
        <f>T("   300210")</f>
        <v xml:space="preserve">   300210</v>
      </c>
      <c r="B2797" t="str">
        <f>T("   Antisérums, autres fractions du sang, produits immunologiques modifiés, même obtenus par voie biotechnologique")</f>
        <v xml:space="preserve">   Antisérums, autres fractions du sang, produits immunologiques modifiés, même obtenus par voie biotechnologique</v>
      </c>
      <c r="C2797">
        <v>3707814</v>
      </c>
      <c r="D2797">
        <v>135</v>
      </c>
    </row>
    <row r="2798" spans="1:4" x14ac:dyDescent="0.25">
      <c r="A2798" t="str">
        <f>T("   300220")</f>
        <v xml:space="preserve">   300220</v>
      </c>
      <c r="B2798" t="str">
        <f>T("   Vaccins pour la médecine humaine")</f>
        <v xml:space="preserve">   Vaccins pour la médecine humaine</v>
      </c>
      <c r="C2798">
        <v>35804947</v>
      </c>
      <c r="D2798">
        <v>200</v>
      </c>
    </row>
    <row r="2799" spans="1:4" x14ac:dyDescent="0.25">
      <c r="A2799" t="str">
        <f>T("   300410")</f>
        <v xml:space="preserve">   300410</v>
      </c>
      <c r="B2799" t="s">
        <v>75</v>
      </c>
      <c r="C2799">
        <v>1771092</v>
      </c>
      <c r="D2799">
        <v>423</v>
      </c>
    </row>
    <row r="2800" spans="1:4" x14ac:dyDescent="0.25">
      <c r="A2800" t="str">
        <f>T("   300490")</f>
        <v xml:space="preserve">   300490</v>
      </c>
      <c r="B2800" t="s">
        <v>79</v>
      </c>
      <c r="C2800">
        <v>82359966</v>
      </c>
      <c r="D2800">
        <v>7484</v>
      </c>
    </row>
    <row r="2801" spans="1:4" x14ac:dyDescent="0.25">
      <c r="A2801" t="str">
        <f>T("   300590")</f>
        <v xml:space="preserve">   300590</v>
      </c>
      <c r="B2801" t="s">
        <v>80</v>
      </c>
      <c r="C2801">
        <v>9071153</v>
      </c>
      <c r="D2801">
        <v>1136</v>
      </c>
    </row>
    <row r="2802" spans="1:4" x14ac:dyDescent="0.25">
      <c r="A2802" t="str">
        <f>T("   300630")</f>
        <v xml:space="preserve">   300630</v>
      </c>
      <c r="B2802" t="str">
        <f>T("   Préparations opacifiantes pour examens radiographiques; réactifs de diagnostic conçus pour être employés sur le patient")</f>
        <v xml:space="preserve">   Préparations opacifiantes pour examens radiographiques; réactifs de diagnostic conçus pour être employés sur le patient</v>
      </c>
      <c r="C2802">
        <v>190491440</v>
      </c>
      <c r="D2802">
        <v>46794</v>
      </c>
    </row>
    <row r="2803" spans="1:4" x14ac:dyDescent="0.25">
      <c r="A2803" t="str">
        <f>T("   320413")</f>
        <v xml:space="preserve">   320413</v>
      </c>
      <c r="B2803" t="s">
        <v>86</v>
      </c>
      <c r="C2803">
        <v>173442</v>
      </c>
      <c r="D2803">
        <v>26</v>
      </c>
    </row>
    <row r="2804" spans="1:4" x14ac:dyDescent="0.25">
      <c r="A2804" t="str">
        <f>T("   320910")</f>
        <v xml:space="preserve">   320910</v>
      </c>
      <c r="B2804" t="str">
        <f>T("   Peintures et vernis à base de polymères acryliques ou vinyliques, dispersés ou dissous dans un milieu aqueux")</f>
        <v xml:space="preserve">   Peintures et vernis à base de polymères acryliques ou vinyliques, dispersés ou dissous dans un milieu aqueux</v>
      </c>
      <c r="C2804">
        <v>14838280</v>
      </c>
      <c r="D2804">
        <v>4375</v>
      </c>
    </row>
    <row r="2805" spans="1:4" x14ac:dyDescent="0.25">
      <c r="A2805" t="str">
        <f>T("   321410")</f>
        <v xml:space="preserve">   321410</v>
      </c>
      <c r="B2805" t="str">
        <f>T("   Mastic de vitrier, ciments de résine et autres mastics; enduits utilisés en peinture")</f>
        <v xml:space="preserve">   Mastic de vitrier, ciments de résine et autres mastics; enduits utilisés en peinture</v>
      </c>
      <c r="C2805">
        <v>17838051</v>
      </c>
      <c r="D2805">
        <v>9923</v>
      </c>
    </row>
    <row r="2806" spans="1:4" x14ac:dyDescent="0.25">
      <c r="A2806" t="str">
        <f>T("   321519")</f>
        <v xml:space="preserve">   321519</v>
      </c>
      <c r="B2806" t="str">
        <f>T("   Encres d'imprimerie, même concentrées ou sous formes solides (à l'excl. des encres noires)")</f>
        <v xml:space="preserve">   Encres d'imprimerie, même concentrées ou sous formes solides (à l'excl. des encres noires)</v>
      </c>
      <c r="C2806">
        <v>426374</v>
      </c>
      <c r="D2806">
        <v>60</v>
      </c>
    </row>
    <row r="2807" spans="1:4" x14ac:dyDescent="0.25">
      <c r="A2807" t="str">
        <f>T("   330210")</f>
        <v xml:space="preserve">   330210</v>
      </c>
      <c r="B2807"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2807">
        <v>138535344</v>
      </c>
      <c r="D2807">
        <v>30095</v>
      </c>
    </row>
    <row r="2808" spans="1:4" x14ac:dyDescent="0.25">
      <c r="A2808" t="str">
        <f>T("   330499")</f>
        <v xml:space="preserve">   330499</v>
      </c>
      <c r="B2808" t="s">
        <v>97</v>
      </c>
      <c r="C2808">
        <v>488690</v>
      </c>
      <c r="D2808">
        <v>1642</v>
      </c>
    </row>
    <row r="2809" spans="1:4" x14ac:dyDescent="0.25">
      <c r="A2809" t="str">
        <f>T("   340119")</f>
        <v xml:space="preserve">   340119</v>
      </c>
      <c r="B2809" t="s">
        <v>99</v>
      </c>
      <c r="C2809">
        <v>12807619</v>
      </c>
      <c r="D2809">
        <v>90080</v>
      </c>
    </row>
    <row r="2810" spans="1:4" x14ac:dyDescent="0.25">
      <c r="A2810" t="str">
        <f>T("   340120")</f>
        <v xml:space="preserve">   340120</v>
      </c>
      <c r="B2810" t="str">
        <f>T("   Savons en flocons, en paillettes, en granulés ou en poudres et savons liquides ou pâteux")</f>
        <v xml:space="preserve">   Savons en flocons, en paillettes, en granulés ou en poudres et savons liquides ou pâteux</v>
      </c>
      <c r="C2810">
        <v>230222</v>
      </c>
      <c r="D2810">
        <v>285</v>
      </c>
    </row>
    <row r="2811" spans="1:4" x14ac:dyDescent="0.25">
      <c r="A2811" t="str">
        <f>T("   340290")</f>
        <v xml:space="preserve">   340290</v>
      </c>
      <c r="B2811" t="s">
        <v>101</v>
      </c>
      <c r="C2811">
        <v>234834</v>
      </c>
      <c r="D2811">
        <v>174</v>
      </c>
    </row>
    <row r="2812" spans="1:4" x14ac:dyDescent="0.25">
      <c r="A2812" t="str">
        <f>T("   340399")</f>
        <v xml:space="preserve">   340399</v>
      </c>
      <c r="B2812" t="s">
        <v>103</v>
      </c>
      <c r="C2812">
        <v>94458</v>
      </c>
      <c r="D2812">
        <v>1</v>
      </c>
    </row>
    <row r="2813" spans="1:4" x14ac:dyDescent="0.25">
      <c r="A2813" t="str">
        <f>T("   350190")</f>
        <v xml:space="preserve">   350190</v>
      </c>
      <c r="B2813" t="str">
        <f>T("   Caséinates et autres dérivés des caséines; colles de caséine (à l'excl. des produits conditionnés pour la vente au détail comme colles et d'un poids net &lt;= 1 kg)")</f>
        <v xml:space="preserve">   Caséinates et autres dérivés des caséines; colles de caséine (à l'excl. des produits conditionnés pour la vente au détail comme colles et d'un poids net &lt;= 1 kg)</v>
      </c>
      <c r="C2813">
        <v>876363</v>
      </c>
      <c r="D2813">
        <v>120</v>
      </c>
    </row>
    <row r="2814" spans="1:4" x14ac:dyDescent="0.25">
      <c r="A2814" t="str">
        <f>T("   350691")</f>
        <v xml:space="preserve">   350691</v>
      </c>
      <c r="B2814"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2814">
        <v>20939863</v>
      </c>
      <c r="D2814">
        <v>9012</v>
      </c>
    </row>
    <row r="2815" spans="1:4" x14ac:dyDescent="0.25">
      <c r="A2815" t="str">
        <f>T("   350699")</f>
        <v xml:space="preserve">   350699</v>
      </c>
      <c r="B2815" t="str">
        <f>T("   Colles et autres adhésifs préparés, n.d.a.")</f>
        <v xml:space="preserve">   Colles et autres adhésifs préparés, n.d.a.</v>
      </c>
      <c r="C2815">
        <v>2045087</v>
      </c>
      <c r="D2815">
        <v>473</v>
      </c>
    </row>
    <row r="2816" spans="1:4" x14ac:dyDescent="0.25">
      <c r="A2816" t="str">
        <f>T("   350790")</f>
        <v xml:space="preserve">   350790</v>
      </c>
      <c r="B2816" t="str">
        <f>T("   Enzymes et enzymes préparées, n.d.a. (à l'excl. de la présure et de ses concentrats)")</f>
        <v xml:space="preserve">   Enzymes et enzymes préparées, n.d.a. (à l'excl. de la présure et de ses concentrats)</v>
      </c>
      <c r="C2816">
        <v>29221706</v>
      </c>
      <c r="D2816">
        <v>339</v>
      </c>
    </row>
    <row r="2817" spans="1:4" x14ac:dyDescent="0.25">
      <c r="A2817" t="str">
        <f>T("   370390")</f>
        <v xml:space="preserve">   370390</v>
      </c>
      <c r="B2817"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2817">
        <v>1322206</v>
      </c>
      <c r="D2817">
        <v>5734</v>
      </c>
    </row>
    <row r="2818" spans="1:4" x14ac:dyDescent="0.25">
      <c r="A2818" t="str">
        <f>T("   370790")</f>
        <v xml:space="preserve">   370790</v>
      </c>
      <c r="B2818" t="s">
        <v>115</v>
      </c>
      <c r="C2818">
        <v>293123</v>
      </c>
      <c r="D2818">
        <v>2172</v>
      </c>
    </row>
    <row r="2819" spans="1:4" x14ac:dyDescent="0.25">
      <c r="A2819" t="str">
        <f>T("   380830")</f>
        <v xml:space="preserve">   380830</v>
      </c>
      <c r="B2819" t="str">
        <f>T("   Herbicides, inhibiteurs de germination et régulateurs de croissance pour plantes, présentés dans des formes ou emballages de vente au détail ou à l'état de préparations ou sous forme d'articles")</f>
        <v xml:space="preserve">   Herbicides, inhibiteurs de germination et régulateurs de croissance pour plantes, présentés dans des formes ou emballages de vente au détail ou à l'état de préparations ou sous forme d'articles</v>
      </c>
      <c r="C2819">
        <v>27931091</v>
      </c>
      <c r="D2819">
        <v>2446</v>
      </c>
    </row>
    <row r="2820" spans="1:4" x14ac:dyDescent="0.25">
      <c r="A2820" t="str">
        <f>T("   382100")</f>
        <v xml:space="preserve">   382100</v>
      </c>
      <c r="B2820" t="str">
        <f>T("   Milieux de culture préparés pour le développement des micro-organismes")</f>
        <v xml:space="preserve">   Milieux de culture préparés pour le développement des micro-organismes</v>
      </c>
      <c r="C2820">
        <v>3170255</v>
      </c>
      <c r="D2820">
        <v>18</v>
      </c>
    </row>
    <row r="2821" spans="1:4" x14ac:dyDescent="0.25">
      <c r="A2821" t="str">
        <f>T("   382200")</f>
        <v xml:space="preserve">   382200</v>
      </c>
      <c r="B2821" t="s">
        <v>122</v>
      </c>
      <c r="C2821">
        <v>87885915</v>
      </c>
      <c r="D2821">
        <v>10393</v>
      </c>
    </row>
    <row r="2822" spans="1:4" x14ac:dyDescent="0.25">
      <c r="A2822" t="str">
        <f>T("   382490")</f>
        <v xml:space="preserve">   382490</v>
      </c>
      <c r="B2822"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2822">
        <v>3458877</v>
      </c>
      <c r="D2822">
        <v>166</v>
      </c>
    </row>
    <row r="2823" spans="1:4" x14ac:dyDescent="0.25">
      <c r="A2823" t="str">
        <f>T("   390390")</f>
        <v xml:space="preserve">   390390</v>
      </c>
      <c r="B2823"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2823">
        <v>2579641</v>
      </c>
      <c r="D2823">
        <v>1960</v>
      </c>
    </row>
    <row r="2824" spans="1:4" x14ac:dyDescent="0.25">
      <c r="A2824" t="str">
        <f>T("   390730")</f>
        <v xml:space="preserve">   390730</v>
      </c>
      <c r="B2824" t="str">
        <f>T("   Résines époxydes, sous formes primaires")</f>
        <v xml:space="preserve">   Résines époxydes, sous formes primaires</v>
      </c>
      <c r="C2824">
        <v>9183</v>
      </c>
      <c r="D2824">
        <v>1</v>
      </c>
    </row>
    <row r="2825" spans="1:4" x14ac:dyDescent="0.25">
      <c r="A2825" t="str">
        <f>T("   391590")</f>
        <v xml:space="preserve">   391590</v>
      </c>
      <c r="B2825" t="str">
        <f>T("   Déchets, rognures et débris de matières plastiques (à l'excl. des déchets, rognures et débris de polymères de l'éthylène, du styrène ou du chlorure de vinyle)")</f>
        <v xml:space="preserve">   Déchets, rognures et débris de matières plastiques (à l'excl. des déchets, rognures et débris de polymères de l'éthylène, du styrène ou du chlorure de vinyle)</v>
      </c>
      <c r="C2825">
        <v>30830</v>
      </c>
      <c r="D2825">
        <v>1</v>
      </c>
    </row>
    <row r="2826" spans="1:4" x14ac:dyDescent="0.25">
      <c r="A2826" t="str">
        <f>T("   391731")</f>
        <v xml:space="preserve">   391731</v>
      </c>
      <c r="B2826" t="str">
        <f>T("   Tubes et tuyaux souples, en matières plastiques, pouvant supporter une pression &gt;= 27,6 MPa, même munis d'accessoires")</f>
        <v xml:space="preserve">   Tubes et tuyaux souples, en matières plastiques, pouvant supporter une pression &gt;= 27,6 MPa, même munis d'accessoires</v>
      </c>
      <c r="C2826">
        <v>27550</v>
      </c>
      <c r="D2826">
        <v>0.5</v>
      </c>
    </row>
    <row r="2827" spans="1:4" x14ac:dyDescent="0.25">
      <c r="A2827" t="str">
        <f>T("   391732")</f>
        <v xml:space="preserve">   391732</v>
      </c>
      <c r="B2827" t="str">
        <f>T("   TUBES ET TUYAUX SOUPLES, EN MATIÈRES PLASTIQUES, NON-RENFORCÉS D'AUTRES MATIÈRES NI AUTREMENT ASSOCIÉS À D'AUTRES MATIÈRES, SANS ACCESSOIRES")</f>
        <v xml:space="preserve">   TUBES ET TUYAUX SOUPLES, EN MATIÈRES PLASTIQUES, NON-RENFORCÉS D'AUTRES MATIÈRES NI AUTREMENT ASSOCIÉS À D'AUTRES MATIÈRES, SANS ACCESSOIRES</v>
      </c>
      <c r="C2827">
        <v>512269</v>
      </c>
      <c r="D2827">
        <v>60</v>
      </c>
    </row>
    <row r="2828" spans="1:4" x14ac:dyDescent="0.25">
      <c r="A2828" t="str">
        <f>T("   391910")</f>
        <v xml:space="preserve">   391910</v>
      </c>
      <c r="B2828"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2828">
        <v>5209562</v>
      </c>
      <c r="D2828">
        <v>730</v>
      </c>
    </row>
    <row r="2829" spans="1:4" x14ac:dyDescent="0.25">
      <c r="A2829" t="str">
        <f>T("   392010")</f>
        <v xml:space="preserve">   392010</v>
      </c>
      <c r="B2829" t="s">
        <v>128</v>
      </c>
      <c r="C2829">
        <v>41778178</v>
      </c>
      <c r="D2829">
        <v>24369</v>
      </c>
    </row>
    <row r="2830" spans="1:4" x14ac:dyDescent="0.25">
      <c r="A2830" t="str">
        <f>T("   392043")</f>
        <v xml:space="preserve">   392043</v>
      </c>
      <c r="B2830" t="s">
        <v>130</v>
      </c>
      <c r="C2830">
        <v>34187</v>
      </c>
      <c r="D2830">
        <v>145</v>
      </c>
    </row>
    <row r="2831" spans="1:4" x14ac:dyDescent="0.25">
      <c r="A2831" t="str">
        <f>T("   392190")</f>
        <v xml:space="preserve">   392190</v>
      </c>
      <c r="B2831" t="s">
        <v>141</v>
      </c>
      <c r="C2831">
        <v>980660</v>
      </c>
      <c r="D2831">
        <v>8</v>
      </c>
    </row>
    <row r="2832" spans="1:4" x14ac:dyDescent="0.25">
      <c r="A2832" t="str">
        <f>T("   392329")</f>
        <v xml:space="preserve">   392329</v>
      </c>
      <c r="B2832" t="str">
        <f>T("   Sacs, sachets, pochettes et cornets, en matières plastiques (autres que les polymères de l'éthylène)")</f>
        <v xml:space="preserve">   Sacs, sachets, pochettes et cornets, en matières plastiques (autres que les polymères de l'éthylène)</v>
      </c>
      <c r="C2832">
        <v>66908</v>
      </c>
      <c r="D2832">
        <v>45</v>
      </c>
    </row>
    <row r="2833" spans="1:4" x14ac:dyDescent="0.25">
      <c r="A2833" t="str">
        <f>T("   392330")</f>
        <v xml:space="preserve">   392330</v>
      </c>
      <c r="B2833" t="str">
        <f>T("   Bonbonnes, bouteilles, flacons et articles simil. pour le transport ou l'emballage, en matières plastiques")</f>
        <v xml:space="preserve">   Bonbonnes, bouteilles, flacons et articles simil. pour le transport ou l'emballage, en matières plastiques</v>
      </c>
      <c r="C2833">
        <v>48760997</v>
      </c>
      <c r="D2833">
        <v>32910</v>
      </c>
    </row>
    <row r="2834" spans="1:4" x14ac:dyDescent="0.25">
      <c r="A2834" t="str">
        <f>T("   392350")</f>
        <v xml:space="preserve">   392350</v>
      </c>
      <c r="B2834" t="str">
        <f>T("   Bouchons, couvercles, capsules et autres dispositifs de fermeture, en matières plastiques")</f>
        <v xml:space="preserve">   Bouchons, couvercles, capsules et autres dispositifs de fermeture, en matières plastiques</v>
      </c>
      <c r="C2834">
        <v>44355956</v>
      </c>
      <c r="D2834">
        <v>17576</v>
      </c>
    </row>
    <row r="2835" spans="1:4" x14ac:dyDescent="0.25">
      <c r="A2835" t="str">
        <f>T("   392390")</f>
        <v xml:space="preserve">   392390</v>
      </c>
      <c r="B2835" t="s">
        <v>142</v>
      </c>
      <c r="C2835">
        <v>71145712</v>
      </c>
      <c r="D2835">
        <v>30670</v>
      </c>
    </row>
    <row r="2836" spans="1:4" x14ac:dyDescent="0.25">
      <c r="A2836" t="str">
        <f>T("   392590")</f>
        <v xml:space="preserve">   392590</v>
      </c>
      <c r="B2836" t="s">
        <v>144</v>
      </c>
      <c r="C2836">
        <v>964518</v>
      </c>
      <c r="D2836">
        <v>652</v>
      </c>
    </row>
    <row r="2837" spans="1:4" x14ac:dyDescent="0.25">
      <c r="A2837" t="str">
        <f>T("   392620")</f>
        <v xml:space="preserve">   392620</v>
      </c>
      <c r="B2837"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2837">
        <v>948668</v>
      </c>
      <c r="D2837">
        <v>506</v>
      </c>
    </row>
    <row r="2838" spans="1:4" x14ac:dyDescent="0.25">
      <c r="A2838" t="str">
        <f>T("   392690")</f>
        <v xml:space="preserve">   392690</v>
      </c>
      <c r="B2838" t="str">
        <f>T("   Ouvrages en matières plastiques et ouvrages en autres matières du n° 3901 à 3914, n.d.a.")</f>
        <v xml:space="preserve">   Ouvrages en matières plastiques et ouvrages en autres matières du n° 3901 à 3914, n.d.a.</v>
      </c>
      <c r="C2838">
        <v>3387540</v>
      </c>
      <c r="D2838">
        <v>118</v>
      </c>
    </row>
    <row r="2839" spans="1:4" x14ac:dyDescent="0.25">
      <c r="A2839" t="str">
        <f>T("   400599")</f>
        <v xml:space="preserve">   400599</v>
      </c>
      <c r="B2839" t="s">
        <v>147</v>
      </c>
      <c r="C2839">
        <v>120000</v>
      </c>
      <c r="D2839">
        <v>200</v>
      </c>
    </row>
    <row r="2840" spans="1:4" x14ac:dyDescent="0.25">
      <c r="A2840" t="str">
        <f>T("   400811")</f>
        <v xml:space="preserve">   400811</v>
      </c>
      <c r="B2840" t="str">
        <f>T("   Plaques, feuilles et bandes, en caoutchouc alvéolaire non durci")</f>
        <v xml:space="preserve">   Plaques, feuilles et bandes, en caoutchouc alvéolaire non durci</v>
      </c>
      <c r="C2840">
        <v>47223872</v>
      </c>
      <c r="D2840">
        <v>11521</v>
      </c>
    </row>
    <row r="2841" spans="1:4" x14ac:dyDescent="0.25">
      <c r="A2841" t="str">
        <f>T("   400911")</f>
        <v xml:space="preserve">   400911</v>
      </c>
      <c r="B2841"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2841">
        <v>155462</v>
      </c>
      <c r="D2841">
        <v>4</v>
      </c>
    </row>
    <row r="2842" spans="1:4" x14ac:dyDescent="0.25">
      <c r="A2842" t="str">
        <f>T("   401012")</f>
        <v xml:space="preserve">   401012</v>
      </c>
      <c r="B2842" t="str">
        <f>T("   Courroies transporteuses, en caoutchouc vulcanisé, renforcées seulement de matières textiles")</f>
        <v xml:space="preserve">   Courroies transporteuses, en caoutchouc vulcanisé, renforcées seulement de matières textiles</v>
      </c>
      <c r="C2842">
        <v>30353893</v>
      </c>
      <c r="D2842">
        <v>3242</v>
      </c>
    </row>
    <row r="2843" spans="1:4" x14ac:dyDescent="0.25">
      <c r="A2843" t="str">
        <f>T("   401039")</f>
        <v xml:space="preserve">   401039</v>
      </c>
      <c r="B2843" t="s">
        <v>151</v>
      </c>
      <c r="C2843">
        <v>17285858</v>
      </c>
      <c r="D2843">
        <v>45</v>
      </c>
    </row>
    <row r="2844" spans="1:4" x14ac:dyDescent="0.25">
      <c r="A2844" t="str">
        <f>T("   401110")</f>
        <v xml:space="preserve">   401110</v>
      </c>
      <c r="B2844"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2844">
        <v>400136</v>
      </c>
      <c r="D2844">
        <v>398</v>
      </c>
    </row>
    <row r="2845" spans="1:4" x14ac:dyDescent="0.25">
      <c r="A2845" t="str">
        <f>T("   401120")</f>
        <v xml:space="preserve">   401120</v>
      </c>
      <c r="B2845"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2845">
        <v>37838452</v>
      </c>
      <c r="D2845">
        <v>44960</v>
      </c>
    </row>
    <row r="2846" spans="1:4" x14ac:dyDescent="0.25">
      <c r="A2846" t="str">
        <f>T("   401140")</f>
        <v xml:space="preserve">   401140</v>
      </c>
      <c r="B2846" t="str">
        <f>T("   Pneumatiques neufs, en caoutchouc, des types utilisés pour les motocycles")</f>
        <v xml:space="preserve">   Pneumatiques neufs, en caoutchouc, des types utilisés pour les motocycles</v>
      </c>
      <c r="C2846">
        <v>50332</v>
      </c>
      <c r="D2846">
        <v>52</v>
      </c>
    </row>
    <row r="2847" spans="1:4" x14ac:dyDescent="0.25">
      <c r="A2847" t="str">
        <f>T("   401199")</f>
        <v xml:space="preserve">   401199</v>
      </c>
      <c r="B2847" t="s">
        <v>152</v>
      </c>
      <c r="C2847">
        <v>245279</v>
      </c>
      <c r="D2847">
        <v>120</v>
      </c>
    </row>
    <row r="2848" spans="1:4" x14ac:dyDescent="0.25">
      <c r="A2848" t="str">
        <f>T("   401211")</f>
        <v xml:space="preserve">   401211</v>
      </c>
      <c r="B2848"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2848">
        <v>262014003</v>
      </c>
      <c r="D2848">
        <v>561485</v>
      </c>
    </row>
    <row r="2849" spans="1:4" x14ac:dyDescent="0.25">
      <c r="A2849" t="str">
        <f>T("   401212")</f>
        <v xml:space="preserve">   401212</v>
      </c>
      <c r="B2849" t="str">
        <f>T("   Pneumatiques rechapés, en caoutchouc, des types utilisés pour les autobus ou camions")</f>
        <v xml:space="preserve">   Pneumatiques rechapés, en caoutchouc, des types utilisés pour les autobus ou camions</v>
      </c>
      <c r="C2849">
        <v>23510275</v>
      </c>
      <c r="D2849">
        <v>50871</v>
      </c>
    </row>
    <row r="2850" spans="1:4" x14ac:dyDescent="0.25">
      <c r="A2850" t="str">
        <f>T("   401219")</f>
        <v xml:space="preserve">   401219</v>
      </c>
      <c r="B2850"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2850">
        <v>1150140</v>
      </c>
      <c r="D2850">
        <v>9557</v>
      </c>
    </row>
    <row r="2851" spans="1:4" x14ac:dyDescent="0.25">
      <c r="A2851" t="str">
        <f>T("   401220")</f>
        <v xml:space="preserve">   401220</v>
      </c>
      <c r="B2851" t="str">
        <f>T("   Pneumatiques usagés, en caoutchouc")</f>
        <v xml:space="preserve">   Pneumatiques usagés, en caoutchouc</v>
      </c>
      <c r="C2851">
        <v>1093478486</v>
      </c>
      <c r="D2851">
        <v>2938075</v>
      </c>
    </row>
    <row r="2852" spans="1:4" x14ac:dyDescent="0.25">
      <c r="A2852" t="str">
        <f>T("   401310")</f>
        <v xml:space="preserve">   401310</v>
      </c>
      <c r="B2852"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2852">
        <v>21138608</v>
      </c>
      <c r="D2852">
        <v>69905</v>
      </c>
    </row>
    <row r="2853" spans="1:4" x14ac:dyDescent="0.25">
      <c r="A2853" t="str">
        <f>T("   401320")</f>
        <v xml:space="preserve">   401320</v>
      </c>
      <c r="B2853" t="str">
        <f>T("   Chambres à air, en caoutchouc, des types utilisés pour les bicyclettes")</f>
        <v xml:space="preserve">   Chambres à air, en caoutchouc, des types utilisés pour les bicyclettes</v>
      </c>
      <c r="C2853">
        <v>502465</v>
      </c>
      <c r="D2853">
        <v>3300</v>
      </c>
    </row>
    <row r="2854" spans="1:4" x14ac:dyDescent="0.25">
      <c r="A2854" t="str">
        <f>T("   401390")</f>
        <v xml:space="preserve">   401390</v>
      </c>
      <c r="B2854"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2854">
        <v>9157531</v>
      </c>
      <c r="D2854">
        <v>62712</v>
      </c>
    </row>
    <row r="2855" spans="1:4" x14ac:dyDescent="0.25">
      <c r="A2855" t="str">
        <f>T("   401511")</f>
        <v xml:space="preserve">   401511</v>
      </c>
      <c r="B2855" t="str">
        <f>T("   Gants en caoutchouc vulcanisé non durci, pour la chirurgie")</f>
        <v xml:space="preserve">   Gants en caoutchouc vulcanisé non durci, pour la chirurgie</v>
      </c>
      <c r="C2855">
        <v>3768031</v>
      </c>
      <c r="D2855">
        <v>388</v>
      </c>
    </row>
    <row r="2856" spans="1:4" x14ac:dyDescent="0.25">
      <c r="A2856" t="str">
        <f>T("   401693")</f>
        <v xml:space="preserve">   401693</v>
      </c>
      <c r="B2856" t="str">
        <f>T("   Joints en caoutchouc vulcanisé non durci (à l'excl. des articles en caoutchouc alvéolaire)")</f>
        <v xml:space="preserve">   Joints en caoutchouc vulcanisé non durci (à l'excl. des articles en caoutchouc alvéolaire)</v>
      </c>
      <c r="C2856">
        <v>4328988</v>
      </c>
      <c r="D2856">
        <v>111</v>
      </c>
    </row>
    <row r="2857" spans="1:4" x14ac:dyDescent="0.25">
      <c r="A2857" t="str">
        <f>T("   401699")</f>
        <v xml:space="preserve">   401699</v>
      </c>
      <c r="B2857" t="str">
        <f>T("   OUVRAGES EN CAOUTCHOUC VULCANISÉ NON-DURCI, N.D.A.")</f>
        <v xml:space="preserve">   OUVRAGES EN CAOUTCHOUC VULCANISÉ NON-DURCI, N.D.A.</v>
      </c>
      <c r="C2857">
        <v>4323985</v>
      </c>
      <c r="D2857">
        <v>194</v>
      </c>
    </row>
    <row r="2858" spans="1:4" x14ac:dyDescent="0.25">
      <c r="A2858" t="str">
        <f>T("   420219")</f>
        <v xml:space="preserve">   420219</v>
      </c>
      <c r="B2858" t="s">
        <v>157</v>
      </c>
      <c r="C2858">
        <v>45000</v>
      </c>
      <c r="D2858">
        <v>400</v>
      </c>
    </row>
    <row r="2859" spans="1:4" x14ac:dyDescent="0.25">
      <c r="A2859" t="str">
        <f>T("   420222")</f>
        <v xml:space="preserve">   420222</v>
      </c>
      <c r="B2859"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2859">
        <v>852009</v>
      </c>
      <c r="D2859">
        <v>1688</v>
      </c>
    </row>
    <row r="2860" spans="1:4" x14ac:dyDescent="0.25">
      <c r="A2860" t="str">
        <f>T("   420229")</f>
        <v xml:space="preserve">   420229</v>
      </c>
      <c r="B2860"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2860">
        <v>215111</v>
      </c>
      <c r="D2860">
        <v>375</v>
      </c>
    </row>
    <row r="2861" spans="1:4" x14ac:dyDescent="0.25">
      <c r="A2861" t="str">
        <f>T("   420292")</f>
        <v xml:space="preserve">   420292</v>
      </c>
      <c r="B2861" t="s">
        <v>159</v>
      </c>
      <c r="C2861">
        <v>197444</v>
      </c>
      <c r="D2861">
        <v>21</v>
      </c>
    </row>
    <row r="2862" spans="1:4" x14ac:dyDescent="0.25">
      <c r="A2862" t="str">
        <f>T("   420299")</f>
        <v xml:space="preserve">   420299</v>
      </c>
      <c r="B2862" t="s">
        <v>160</v>
      </c>
      <c r="C2862">
        <v>59036</v>
      </c>
      <c r="D2862">
        <v>106</v>
      </c>
    </row>
    <row r="2863" spans="1:4" x14ac:dyDescent="0.25">
      <c r="A2863" t="str">
        <f>T("   441119")</f>
        <v xml:space="preserve">   441119</v>
      </c>
      <c r="B2863" t="s">
        <v>172</v>
      </c>
      <c r="C2863">
        <v>42716020</v>
      </c>
      <c r="D2863">
        <v>197000</v>
      </c>
    </row>
    <row r="2864" spans="1:4" x14ac:dyDescent="0.25">
      <c r="A2864" t="str">
        <f>T("   441810")</f>
        <v xml:space="preserve">   441810</v>
      </c>
      <c r="B2864" t="str">
        <f>T("   Fenêtres, portes-fenêtres et leurs cadres et chambranles, en bois")</f>
        <v xml:space="preserve">   Fenêtres, portes-fenêtres et leurs cadres et chambranles, en bois</v>
      </c>
      <c r="C2864">
        <v>848812</v>
      </c>
      <c r="D2864">
        <v>5315</v>
      </c>
    </row>
    <row r="2865" spans="1:4" x14ac:dyDescent="0.25">
      <c r="A2865" t="str">
        <f>T("   441820")</f>
        <v xml:space="preserve">   441820</v>
      </c>
      <c r="B2865" t="str">
        <f>T("   Portes et leurs cadres, chambranles et seuils, en bois")</f>
        <v xml:space="preserve">   Portes et leurs cadres, chambranles et seuils, en bois</v>
      </c>
      <c r="C2865">
        <v>1364397</v>
      </c>
      <c r="D2865">
        <v>6540</v>
      </c>
    </row>
    <row r="2866" spans="1:4" x14ac:dyDescent="0.25">
      <c r="A2866" t="str">
        <f>T("   480421")</f>
        <v xml:space="preserve">   480421</v>
      </c>
      <c r="B2866" t="str">
        <f>T("   PAPIERS KRAFT POUR SACS DE GRANDE CONTENANCE, ÉCRUS, NON-COUCHÉS NI ENDUITS, EN ROULEAUX D'UNE LARGEUR &gt; 36 CM (À L'EXCL. DES ARTICLES DU N° 4802, 4803 OU 4808)")</f>
        <v xml:space="preserve">   PAPIERS KRAFT POUR SACS DE GRANDE CONTENANCE, ÉCRUS, NON-COUCHÉS NI ENDUITS, EN ROULEAUX D'UNE LARGEUR &gt; 36 CM (À L'EXCL. DES ARTICLES DU N° 4802, 4803 OU 4808)</v>
      </c>
      <c r="C2866">
        <v>50171100</v>
      </c>
      <c r="D2866">
        <v>90881</v>
      </c>
    </row>
    <row r="2867" spans="1:4" x14ac:dyDescent="0.25">
      <c r="A2867" t="str">
        <f>T("   480550")</f>
        <v xml:space="preserve">   480550</v>
      </c>
      <c r="B2867" t="str">
        <f>T("   Papier et carton feutre, papier et carton laineux, en rouleaux d'une largeur &gt; 36 cm ou en feuilles de forme carrée ou rectangulaire dont au moins un coté &gt; 36 cm et l'autre &gt; 15 cm à l'état non plié")</f>
        <v xml:space="preserve">   Papier et carton feutre, papier et carton laineux, en rouleaux d'une largeur &gt; 36 cm ou en feuilles de forme carrée ou rectangulaire dont au moins un coté &gt; 36 cm et l'autre &gt; 15 cm à l'état non plié</v>
      </c>
      <c r="C2867">
        <v>2747635</v>
      </c>
      <c r="D2867">
        <v>2103</v>
      </c>
    </row>
    <row r="2868" spans="1:4" x14ac:dyDescent="0.25">
      <c r="A2868" t="str">
        <f>T("   481099")</f>
        <v xml:space="preserve">   481099</v>
      </c>
      <c r="B2868" t="s">
        <v>208</v>
      </c>
      <c r="C2868">
        <v>2439000</v>
      </c>
      <c r="D2868">
        <v>7000</v>
      </c>
    </row>
    <row r="2869" spans="1:4" x14ac:dyDescent="0.25">
      <c r="A2869" t="str">
        <f>T("   481200")</f>
        <v xml:space="preserve">   481200</v>
      </c>
      <c r="B2869" t="str">
        <f>T("   Blocs filtrants et plaques filtrantes, en pâte à papier")</f>
        <v xml:space="preserve">   Blocs filtrants et plaques filtrantes, en pâte à papier</v>
      </c>
      <c r="C2869">
        <v>1292897</v>
      </c>
      <c r="D2869">
        <v>76</v>
      </c>
    </row>
    <row r="2870" spans="1:4" x14ac:dyDescent="0.25">
      <c r="A2870" t="str">
        <f>T("   481710")</f>
        <v xml:space="preserve">   481710</v>
      </c>
      <c r="B2870" t="str">
        <f>T("   Enveloppes, en papier ou en carton")</f>
        <v xml:space="preserve">   Enveloppes, en papier ou en carton</v>
      </c>
      <c r="C2870">
        <v>12219767</v>
      </c>
      <c r="D2870">
        <v>21289</v>
      </c>
    </row>
    <row r="2871" spans="1:4" x14ac:dyDescent="0.25">
      <c r="A2871" t="str">
        <f>T("   481960")</f>
        <v xml:space="preserve">   481960</v>
      </c>
      <c r="B2871" t="str">
        <f>T("   Cartonnages de bureau, de magasin ou simil., rigides (à l'excl. des emballages)")</f>
        <v xml:space="preserve">   Cartonnages de bureau, de magasin ou simil., rigides (à l'excl. des emballages)</v>
      </c>
      <c r="C2871">
        <v>13119</v>
      </c>
      <c r="D2871">
        <v>3</v>
      </c>
    </row>
    <row r="2872" spans="1:4" x14ac:dyDescent="0.25">
      <c r="A2872" t="str">
        <f>T("   482010")</f>
        <v xml:space="preserve">   482010</v>
      </c>
      <c r="B2872"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2872">
        <v>65596</v>
      </c>
      <c r="D2872">
        <v>190</v>
      </c>
    </row>
    <row r="2873" spans="1:4" x14ac:dyDescent="0.25">
      <c r="A2873" t="str">
        <f>T("   482040")</f>
        <v xml:space="preserve">   482040</v>
      </c>
      <c r="B2873" t="str">
        <f>T("   Liasses et carnets manifold, même comportant des feuilles de papier carbone, en papier ou carton")</f>
        <v xml:space="preserve">   Liasses et carnets manifold, même comportant des feuilles de papier carbone, en papier ou carton</v>
      </c>
      <c r="C2873">
        <v>33454</v>
      </c>
      <c r="D2873">
        <v>7</v>
      </c>
    </row>
    <row r="2874" spans="1:4" x14ac:dyDescent="0.25">
      <c r="A2874" t="str">
        <f>T("   482110")</f>
        <v xml:space="preserve">   482110</v>
      </c>
      <c r="B2874" t="str">
        <f>T("   ÉTIQUETTES DE TOUS GENRES, EN PAPIER OU EN CARTON, IMPRIMÉES")</f>
        <v xml:space="preserve">   ÉTIQUETTES DE TOUS GENRES, EN PAPIER OU EN CARTON, IMPRIMÉES</v>
      </c>
      <c r="C2874">
        <v>209197816</v>
      </c>
      <c r="D2874">
        <v>41426</v>
      </c>
    </row>
    <row r="2875" spans="1:4" x14ac:dyDescent="0.25">
      <c r="A2875" t="str">
        <f>T("   482190")</f>
        <v xml:space="preserve">   482190</v>
      </c>
      <c r="B2875" t="str">
        <f>T("   ÉTIQUETTES DE TOUS GENRES, EN PAPIER OU EN CARTON, NON-IMPRIMÉES")</f>
        <v xml:space="preserve">   ÉTIQUETTES DE TOUS GENRES, EN PAPIER OU EN CARTON, NON-IMPRIMÉES</v>
      </c>
      <c r="C2875">
        <v>8157216</v>
      </c>
      <c r="D2875">
        <v>1689</v>
      </c>
    </row>
    <row r="2876" spans="1:4" x14ac:dyDescent="0.25">
      <c r="A2876" t="str">
        <f>T("   490110")</f>
        <v xml:space="preserve">   490110</v>
      </c>
      <c r="B2876"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2876">
        <v>2041348</v>
      </c>
      <c r="D2876">
        <v>1927</v>
      </c>
    </row>
    <row r="2877" spans="1:4" x14ac:dyDescent="0.25">
      <c r="A2877" t="str">
        <f>T("   490199")</f>
        <v xml:space="preserve">   490199</v>
      </c>
      <c r="B287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2877">
        <v>25894606</v>
      </c>
      <c r="D2877">
        <v>13312</v>
      </c>
    </row>
    <row r="2878" spans="1:4" x14ac:dyDescent="0.25">
      <c r="A2878" t="str">
        <f>T("   490599")</f>
        <v xml:space="preserve">   490599</v>
      </c>
      <c r="B2878"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2878">
        <v>481776</v>
      </c>
      <c r="D2878">
        <v>7</v>
      </c>
    </row>
    <row r="2879" spans="1:4" x14ac:dyDescent="0.25">
      <c r="A2879" t="str">
        <f>T("   491000")</f>
        <v xml:space="preserve">   491000</v>
      </c>
      <c r="B2879" t="str">
        <f>T("   Calendriers de tous genres, imprimés, y.c. les blocs de calendriers à effeuiller")</f>
        <v xml:space="preserve">   Calendriers de tous genres, imprimés, y.c. les blocs de calendriers à effeuiller</v>
      </c>
      <c r="C2879">
        <v>37101</v>
      </c>
      <c r="D2879">
        <v>143</v>
      </c>
    </row>
    <row r="2880" spans="1:4" x14ac:dyDescent="0.25">
      <c r="A2880" t="str">
        <f>T("   491110")</f>
        <v xml:space="preserve">   491110</v>
      </c>
      <c r="B2880" t="str">
        <f>T("   Imprimés publicitaires, catalogues commerciaux et simil.")</f>
        <v xml:space="preserve">   Imprimés publicitaires, catalogues commerciaux et simil.</v>
      </c>
      <c r="C2880">
        <v>1319642</v>
      </c>
      <c r="D2880">
        <v>230</v>
      </c>
    </row>
    <row r="2881" spans="1:4" x14ac:dyDescent="0.25">
      <c r="A2881" t="str">
        <f>T("   491191")</f>
        <v xml:space="preserve">   491191</v>
      </c>
      <c r="B2881" t="str">
        <f>T("   Images, gravures et photographies, n.d.a.")</f>
        <v xml:space="preserve">   Images, gravures et photographies, n.d.a.</v>
      </c>
      <c r="C2881">
        <v>22303</v>
      </c>
      <c r="D2881">
        <v>4</v>
      </c>
    </row>
    <row r="2882" spans="1:4" x14ac:dyDescent="0.25">
      <c r="A2882" t="str">
        <f>T("   491199")</f>
        <v xml:space="preserve">   491199</v>
      </c>
      <c r="B2882" t="str">
        <f>T("   Imprimés, n.d.a.")</f>
        <v xml:space="preserve">   Imprimés, n.d.a.</v>
      </c>
      <c r="C2882">
        <v>311581</v>
      </c>
      <c r="D2882">
        <v>240</v>
      </c>
    </row>
    <row r="2883" spans="1:4" x14ac:dyDescent="0.25">
      <c r="A2883" t="str">
        <f>T("   520829")</f>
        <v xml:space="preserve">   520829</v>
      </c>
      <c r="B2883"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2883">
        <v>3947856</v>
      </c>
      <c r="D2883">
        <v>2002</v>
      </c>
    </row>
    <row r="2884" spans="1:4" x14ac:dyDescent="0.25">
      <c r="A2884" t="str">
        <f>T("   520852")</f>
        <v xml:space="preserve">   520852</v>
      </c>
      <c r="B2884" t="str">
        <f>T("   Tissus de coton, imprimés, à armure toile, contenant &gt;= 85% en poids de coton, d'un poids &gt; 100 g/m² mais &lt;= 200 g/m²")</f>
        <v xml:space="preserve">   Tissus de coton, imprimés, à armure toile, contenant &gt;= 85% en poids de coton, d'un poids &gt; 100 g/m² mais &lt;= 200 g/m²</v>
      </c>
      <c r="C2884">
        <v>4300000</v>
      </c>
      <c r="D2884">
        <v>4622</v>
      </c>
    </row>
    <row r="2885" spans="1:4" x14ac:dyDescent="0.25">
      <c r="A2885" t="str">
        <f>T("   551519")</f>
        <v xml:space="preserve">   551519</v>
      </c>
      <c r="B2885" t="s">
        <v>231</v>
      </c>
      <c r="C2885">
        <v>200029197</v>
      </c>
      <c r="D2885">
        <v>332789.75</v>
      </c>
    </row>
    <row r="2886" spans="1:4" x14ac:dyDescent="0.25">
      <c r="A2886" t="str">
        <f>T("   560749")</f>
        <v xml:space="preserve">   560749</v>
      </c>
      <c r="B2886"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2886">
        <v>2046596</v>
      </c>
      <c r="D2886">
        <v>1350</v>
      </c>
    </row>
    <row r="2887" spans="1:4" x14ac:dyDescent="0.25">
      <c r="A2887" t="str">
        <f>T("   560790")</f>
        <v xml:space="preserve">   560790</v>
      </c>
      <c r="B2887" t="str">
        <f>T("   FICELLES, CORDES ET CORDAGES, TRESSÉS OU NON, MÊME IMPRÉGNÉS, ENDUITS, RECOUVERTS OU GAINÉS DE CAOUTCHOUC OU DE MATIÈRE PLASTIQUE (À L'EXCL. DES PRODUITS DE FIBRES SYNTHÉTIQUES AINSI QUE DE SISAL OU D'AUTRES FIBRES TEXTILES DU GENRE 'AGAVE')")</f>
        <v xml:space="preserve">   FICELLES, CORDES ET CORDAGES, TRESSÉS OU NON, MÊME IMPRÉGNÉS, ENDUITS, RECOUVERTS OU GAINÉS DE CAOUTCHOUC OU DE MATIÈRE PLASTIQUE (À L'EXCL. DES PRODUITS DE FIBRES SYNTHÉTIQUES AINSI QUE DE SISAL OU D'AUTRES FIBRES TEXTILES DU GENRE 'AGAVE')</v>
      </c>
      <c r="C2887">
        <v>955734</v>
      </c>
      <c r="D2887">
        <v>500</v>
      </c>
    </row>
    <row r="2888" spans="1:4" x14ac:dyDescent="0.25">
      <c r="A2888" t="str">
        <f>T("   570239")</f>
        <v xml:space="preserve">   570239</v>
      </c>
      <c r="B2888" t="s">
        <v>241</v>
      </c>
      <c r="C2888">
        <v>10000</v>
      </c>
      <c r="D2888">
        <v>10</v>
      </c>
    </row>
    <row r="2889" spans="1:4" x14ac:dyDescent="0.25">
      <c r="A2889" t="str">
        <f>T("   570490")</f>
        <v xml:space="preserve">   570490</v>
      </c>
      <c r="B2889"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2889">
        <v>240062</v>
      </c>
      <c r="D2889">
        <v>150</v>
      </c>
    </row>
    <row r="2890" spans="1:4" x14ac:dyDescent="0.25">
      <c r="A2890" t="str">
        <f>T("   570500")</f>
        <v xml:space="preserve">   570500</v>
      </c>
      <c r="B2890"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2890">
        <v>52477</v>
      </c>
      <c r="D2890">
        <v>150</v>
      </c>
    </row>
    <row r="2891" spans="1:4" x14ac:dyDescent="0.25">
      <c r="A2891" t="str">
        <f>T("   591190")</f>
        <v xml:space="preserve">   591190</v>
      </c>
      <c r="B2891" t="str">
        <f>T("   Produits et articles textiles pour usages techniques, en matières textiles, visés à la note 7 du présent chapitre, n.d.a.")</f>
        <v xml:space="preserve">   Produits et articles textiles pour usages techniques, en matières textiles, visés à la note 7 du présent chapitre, n.d.a.</v>
      </c>
      <c r="C2891">
        <v>3559895</v>
      </c>
      <c r="D2891">
        <v>43</v>
      </c>
    </row>
    <row r="2892" spans="1:4" x14ac:dyDescent="0.25">
      <c r="A2892" t="str">
        <f>T("   610990")</f>
        <v xml:space="preserve">   610990</v>
      </c>
      <c r="B2892" t="str">
        <f>T("   T-shirts et maillots de corps, en bonneterie, de matières textiles (sauf de coton)")</f>
        <v xml:space="preserve">   T-shirts et maillots de corps, en bonneterie, de matières textiles (sauf de coton)</v>
      </c>
      <c r="C2892">
        <v>1044290</v>
      </c>
      <c r="D2892">
        <v>1106</v>
      </c>
    </row>
    <row r="2893" spans="1:4" x14ac:dyDescent="0.25">
      <c r="A2893" t="str">
        <f>T("   611420")</f>
        <v xml:space="preserve">   611420</v>
      </c>
      <c r="B2893" t="str">
        <f>T("   Vêtements spéciaux destinés à des fins professionnelles, sportives ou autres n.d.a., en bonneterie, de coton")</f>
        <v xml:space="preserve">   Vêtements spéciaux destinés à des fins professionnelles, sportives ou autres n.d.a., en bonneterie, de coton</v>
      </c>
      <c r="C2893">
        <v>479350</v>
      </c>
      <c r="D2893">
        <v>350</v>
      </c>
    </row>
    <row r="2894" spans="1:4" x14ac:dyDescent="0.25">
      <c r="A2894" t="str">
        <f>T("   611519")</f>
        <v xml:space="preserve">   611519</v>
      </c>
      <c r="B2894" t="str">
        <f>T("   COLLANTS 'BAS-CULOTTES', EN BONNETERIE, DE MATIÈRES TEXTILES (SAUF DE FIBRES SYNTHÉTIQUES ET SAUF ARTICLES CHAUSSANTS POUR BÉBÉS)")</f>
        <v xml:space="preserve">   COLLANTS 'BAS-CULOTTES', EN BONNETERIE, DE MATIÈRES TEXTILES (SAUF DE FIBRES SYNTHÉTIQUES ET SAUF ARTICLES CHAUSSANTS POUR BÉBÉS)</v>
      </c>
      <c r="C2894">
        <v>67564</v>
      </c>
      <c r="D2894">
        <v>20</v>
      </c>
    </row>
    <row r="2895" spans="1:4" x14ac:dyDescent="0.25">
      <c r="A2895" t="str">
        <f>T("   620199")</f>
        <v xml:space="preserve">   620199</v>
      </c>
      <c r="B2895" t="s">
        <v>258</v>
      </c>
      <c r="C2895">
        <v>32798</v>
      </c>
      <c r="D2895">
        <v>25</v>
      </c>
    </row>
    <row r="2896" spans="1:4" x14ac:dyDescent="0.25">
      <c r="A2896" t="str">
        <f>T("   620590")</f>
        <v xml:space="preserve">   620590</v>
      </c>
      <c r="B289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896">
        <v>300000</v>
      </c>
      <c r="D2896">
        <v>400</v>
      </c>
    </row>
    <row r="2897" spans="1:4" x14ac:dyDescent="0.25">
      <c r="A2897" t="str">
        <f>T("   620990")</f>
        <v xml:space="preserve">   620990</v>
      </c>
      <c r="B2897"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2897">
        <v>402982</v>
      </c>
      <c r="D2897">
        <v>536</v>
      </c>
    </row>
    <row r="2898" spans="1:4" x14ac:dyDescent="0.25">
      <c r="A2898" t="str">
        <f>T("   621040")</f>
        <v xml:space="preserve">   621040</v>
      </c>
      <c r="B2898" t="s">
        <v>265</v>
      </c>
      <c r="C2898">
        <v>1640000</v>
      </c>
      <c r="D2898">
        <v>6200</v>
      </c>
    </row>
    <row r="2899" spans="1:4" x14ac:dyDescent="0.25">
      <c r="A2899" t="str">
        <f>T("   621149")</f>
        <v xml:space="preserve">   621149</v>
      </c>
      <c r="B2899"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2899">
        <v>39358</v>
      </c>
      <c r="D2899">
        <v>25</v>
      </c>
    </row>
    <row r="2900" spans="1:4" x14ac:dyDescent="0.25">
      <c r="A2900" t="str">
        <f>T("   630392")</f>
        <v xml:space="preserve">   630392</v>
      </c>
      <c r="B2900" t="str">
        <f>T("   Vitrages, rideaux et stores d'intérieur ainsi que cantonnières et tours de lit, de fibres synthétiques (autres qu'en bonneterie et autres que stores d'extérieur)")</f>
        <v xml:space="preserve">   Vitrages, rideaux et stores d'intérieur ainsi que cantonnières et tours de lit, de fibres synthétiques (autres qu'en bonneterie et autres que stores d'extérieur)</v>
      </c>
      <c r="C2900">
        <v>524768</v>
      </c>
      <c r="D2900">
        <v>800</v>
      </c>
    </row>
    <row r="2901" spans="1:4" x14ac:dyDescent="0.25">
      <c r="A2901" t="str">
        <f>T("   630510")</f>
        <v xml:space="preserve">   630510</v>
      </c>
      <c r="B2901" t="str">
        <f>T("   Sacs et sachets d'emballage de jute ou d'autres fibres textiles libériennes du n° 5303")</f>
        <v xml:space="preserve">   Sacs et sachets d'emballage de jute ou d'autres fibres textiles libériennes du n° 5303</v>
      </c>
      <c r="C2901">
        <v>432934</v>
      </c>
      <c r="D2901">
        <v>18000</v>
      </c>
    </row>
    <row r="2902" spans="1:4" x14ac:dyDescent="0.25">
      <c r="A2902" t="str">
        <f>T("   630790")</f>
        <v xml:space="preserve">   630790</v>
      </c>
      <c r="B2902" t="str">
        <f>T("   Articles de matières textiles, confectionnés, y.c. les patrons de vêtements n.d.a.")</f>
        <v xml:space="preserve">   Articles de matières textiles, confectionnés, y.c. les patrons de vêtements n.d.a.</v>
      </c>
      <c r="C2902">
        <v>684166</v>
      </c>
      <c r="D2902">
        <v>65</v>
      </c>
    </row>
    <row r="2903" spans="1:4" x14ac:dyDescent="0.25">
      <c r="A2903" t="str">
        <f>T("   630900")</f>
        <v xml:space="preserve">   630900</v>
      </c>
      <c r="B2903" t="s">
        <v>273</v>
      </c>
      <c r="C2903">
        <v>771673762</v>
      </c>
      <c r="D2903">
        <v>1529181</v>
      </c>
    </row>
    <row r="2904" spans="1:4" x14ac:dyDescent="0.25">
      <c r="A2904" t="str">
        <f>T("   640399")</f>
        <v xml:space="preserve">   640399</v>
      </c>
      <c r="B2904" t="s">
        <v>281</v>
      </c>
      <c r="C2904">
        <v>59036</v>
      </c>
      <c r="D2904">
        <v>200</v>
      </c>
    </row>
    <row r="2905" spans="1:4" x14ac:dyDescent="0.25">
      <c r="A2905" t="str">
        <f>T("   650590")</f>
        <v xml:space="preserve">   650590</v>
      </c>
      <c r="B2905" t="s">
        <v>284</v>
      </c>
      <c r="C2905">
        <v>102986</v>
      </c>
      <c r="D2905">
        <v>45</v>
      </c>
    </row>
    <row r="2906" spans="1:4" x14ac:dyDescent="0.25">
      <c r="A2906" t="str">
        <f>T("   650610")</f>
        <v xml:space="preserve">   650610</v>
      </c>
      <c r="B2906" t="str">
        <f>T("   Coiffures de sécurité, même garnies")</f>
        <v xml:space="preserve">   Coiffures de sécurité, même garnies</v>
      </c>
      <c r="C2906">
        <v>61622</v>
      </c>
      <c r="D2906">
        <v>15</v>
      </c>
    </row>
    <row r="2907" spans="1:4" x14ac:dyDescent="0.25">
      <c r="A2907" t="str">
        <f>T("   680421")</f>
        <v xml:space="preserve">   680421</v>
      </c>
      <c r="B2907" t="s">
        <v>291</v>
      </c>
      <c r="C2907">
        <v>695973</v>
      </c>
      <c r="D2907">
        <v>4</v>
      </c>
    </row>
    <row r="2908" spans="1:4" x14ac:dyDescent="0.25">
      <c r="A2908" t="str">
        <f>T("   680422")</f>
        <v xml:space="preserve">   680422</v>
      </c>
      <c r="B2908" t="s">
        <v>292</v>
      </c>
      <c r="C2908">
        <v>8007541</v>
      </c>
      <c r="D2908">
        <v>9352</v>
      </c>
    </row>
    <row r="2909" spans="1:4" x14ac:dyDescent="0.25">
      <c r="A2909" t="str">
        <f>T("   690210")</f>
        <v xml:space="preserve">   690210</v>
      </c>
      <c r="B2909" t="str">
        <f>T("   Briques, dalles, carreaux et pièces céramiques de construction analogues, réfractaires, teneur en poids en éléments Mg, Ca ou Cr, pris isolément ou ensemble et exprimés en MgO, CaO ou Cr2O3 &gt; 50%")</f>
        <v xml:space="preserve">   Briques, dalles, carreaux et pièces céramiques de construction analogues, réfractaires, teneur en poids en éléments Mg, Ca ou Cr, pris isolément ou ensemble et exprimés en MgO, CaO ou Cr2O3 &gt; 50%</v>
      </c>
      <c r="C2909">
        <v>243266701</v>
      </c>
      <c r="D2909">
        <v>304358</v>
      </c>
    </row>
    <row r="2910" spans="1:4" x14ac:dyDescent="0.25">
      <c r="A2910" t="str">
        <f>T("   690220")</f>
        <v xml:space="preserve">   690220</v>
      </c>
      <c r="B2910" t="s">
        <v>301</v>
      </c>
      <c r="C2910">
        <v>55911406</v>
      </c>
      <c r="D2910">
        <v>79674</v>
      </c>
    </row>
    <row r="2911" spans="1:4" x14ac:dyDescent="0.25">
      <c r="A2911" t="str">
        <f>T("   690390")</f>
        <v xml:space="preserve">   690390</v>
      </c>
      <c r="B2911" t="s">
        <v>303</v>
      </c>
      <c r="C2911">
        <v>1139415</v>
      </c>
      <c r="D2911">
        <v>2000</v>
      </c>
    </row>
    <row r="2912" spans="1:4" x14ac:dyDescent="0.25">
      <c r="A2912" t="str">
        <f>T("   691190")</f>
        <v xml:space="preserve">   691190</v>
      </c>
      <c r="B2912" t="s">
        <v>312</v>
      </c>
      <c r="C2912">
        <v>1463510</v>
      </c>
      <c r="D2912">
        <v>1873</v>
      </c>
    </row>
    <row r="2913" spans="1:4" x14ac:dyDescent="0.25">
      <c r="A2913" t="str">
        <f>T("   691200")</f>
        <v xml:space="preserve">   691200</v>
      </c>
      <c r="B2913" t="s">
        <v>313</v>
      </c>
      <c r="C2913">
        <v>80027</v>
      </c>
      <c r="D2913">
        <v>40</v>
      </c>
    </row>
    <row r="2914" spans="1:4" x14ac:dyDescent="0.25">
      <c r="A2914" t="str">
        <f>T("   700530")</f>
        <v xml:space="preserve">   700530</v>
      </c>
      <c r="B2914" t="str">
        <f>T("   Plaques ou feuilles en glace [verre flotté et verre douci ou poli sur une ou deux faces], même à couche absorbante, réfléchissante ou non réfléchissante, armée, mais non autrement travaillée")</f>
        <v xml:space="preserve">   Plaques ou feuilles en glace [verre flotté et verre douci ou poli sur une ou deux faces], même à couche absorbante, réfléchissante ou non réfléchissante, armée, mais non autrement travaillée</v>
      </c>
      <c r="C2914">
        <v>10312327</v>
      </c>
      <c r="D2914">
        <v>24816</v>
      </c>
    </row>
    <row r="2915" spans="1:4" x14ac:dyDescent="0.25">
      <c r="A2915" t="str">
        <f>T("   700721")</f>
        <v xml:space="preserve">   700721</v>
      </c>
      <c r="B2915" t="s">
        <v>318</v>
      </c>
      <c r="C2915">
        <v>688826</v>
      </c>
      <c r="D2915">
        <v>32</v>
      </c>
    </row>
    <row r="2916" spans="1:4" x14ac:dyDescent="0.25">
      <c r="A2916" t="str">
        <f>T("   701090")</f>
        <v xml:space="preserve">   701090</v>
      </c>
      <c r="B2916" t="s">
        <v>320</v>
      </c>
      <c r="C2916">
        <v>660730779</v>
      </c>
      <c r="D2916">
        <v>1272170</v>
      </c>
    </row>
    <row r="2917" spans="1:4" x14ac:dyDescent="0.25">
      <c r="A2917" t="str">
        <f>T("   701190")</f>
        <v xml:space="preserve">   701190</v>
      </c>
      <c r="B2917"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2917">
        <v>150000</v>
      </c>
      <c r="D2917">
        <v>1000</v>
      </c>
    </row>
    <row r="2918" spans="1:4" x14ac:dyDescent="0.25">
      <c r="A2918" t="str">
        <f>T("   701790")</f>
        <v xml:space="preserve">   701790</v>
      </c>
      <c r="B2918" t="s">
        <v>331</v>
      </c>
      <c r="C2918">
        <v>1060688</v>
      </c>
      <c r="D2918">
        <v>76</v>
      </c>
    </row>
    <row r="2919" spans="1:4" x14ac:dyDescent="0.25">
      <c r="A2919" t="str">
        <f>T("   720917")</f>
        <v xml:space="preserve">   720917</v>
      </c>
      <c r="B2919"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2919">
        <v>388149243</v>
      </c>
      <c r="D2919">
        <v>898319</v>
      </c>
    </row>
    <row r="2920" spans="1:4" x14ac:dyDescent="0.25">
      <c r="A2920" t="str">
        <f>T("   721049")</f>
        <v xml:space="preserve">   721049</v>
      </c>
      <c r="B2920"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2920">
        <v>76223208</v>
      </c>
      <c r="D2920">
        <v>154151</v>
      </c>
    </row>
    <row r="2921" spans="1:4" x14ac:dyDescent="0.25">
      <c r="A2921" t="str">
        <f>T("   721391")</f>
        <v xml:space="preserve">   721391</v>
      </c>
      <c r="B2921"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2921">
        <v>5264795900</v>
      </c>
      <c r="D2921">
        <v>14813300</v>
      </c>
    </row>
    <row r="2922" spans="1:4" x14ac:dyDescent="0.25">
      <c r="A2922" t="str">
        <f>T("   721990")</f>
        <v xml:space="preserve">   721990</v>
      </c>
      <c r="B2922" t="str">
        <f>T("   Produits laminés plats, en aciers inoxydables, d'une largeur &gt;= 600 mm, laminés à chaud ou à froid et ayant subi certaines ouvraisons plus poussées")</f>
        <v xml:space="preserve">   Produits laminés plats, en aciers inoxydables, d'une largeur &gt;= 600 mm, laminés à chaud ou à froid et ayant subi certaines ouvraisons plus poussées</v>
      </c>
      <c r="C2922">
        <v>2432300</v>
      </c>
      <c r="D2922">
        <v>572</v>
      </c>
    </row>
    <row r="2923" spans="1:4" x14ac:dyDescent="0.25">
      <c r="A2923" t="str">
        <f>T("   730722")</f>
        <v xml:space="preserve">   730722</v>
      </c>
      <c r="B2923" t="str">
        <f>T("   COUDES, COURBES ET MANCHONS EN ACIERS INOXYDABLES, FILETÉS (NON-MOULÉS)")</f>
        <v xml:space="preserve">   COUDES, COURBES ET MANCHONS EN ACIERS INOXYDABLES, FILETÉS (NON-MOULÉS)</v>
      </c>
      <c r="C2923">
        <v>412599</v>
      </c>
      <c r="D2923">
        <v>2</v>
      </c>
    </row>
    <row r="2924" spans="1:4" x14ac:dyDescent="0.25">
      <c r="A2924" t="str">
        <f>T("   730729")</f>
        <v xml:space="preserve">   730729</v>
      </c>
      <c r="B2924" t="str">
        <f>T("   ACCESSOIRES DE TUYAUTERIE, EN ACIERS INOXYDABLES (NON-MOULÉS ET SAUF BRIDES; COUDES, COURBES ET MANCHONS FILETÉS; ACCESSOIRES À SOUDER BOUT À BOUT)")</f>
        <v xml:space="preserve">   ACCESSOIRES DE TUYAUTERIE, EN ACIERS INOXYDABLES (NON-MOULÉS ET SAUF BRIDES; COUDES, COURBES ET MANCHONS FILETÉS; ACCESSOIRES À SOUDER BOUT À BOUT)</v>
      </c>
      <c r="C2924">
        <v>619226</v>
      </c>
      <c r="D2924">
        <v>14</v>
      </c>
    </row>
    <row r="2925" spans="1:4" x14ac:dyDescent="0.25">
      <c r="A2925" t="str">
        <f>T("   730799")</f>
        <v xml:space="preserve">   730799</v>
      </c>
      <c r="B2925"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2925">
        <v>288623</v>
      </c>
      <c r="D2925">
        <v>4</v>
      </c>
    </row>
    <row r="2926" spans="1:4" x14ac:dyDescent="0.25">
      <c r="A2926" t="str">
        <f>T("   730890")</f>
        <v xml:space="preserve">   730890</v>
      </c>
      <c r="B2926" t="s">
        <v>349</v>
      </c>
      <c r="C2926">
        <v>60852753</v>
      </c>
      <c r="D2926">
        <v>32050</v>
      </c>
    </row>
    <row r="2927" spans="1:4" x14ac:dyDescent="0.25">
      <c r="A2927" t="str">
        <f>T("   731431")</f>
        <v xml:space="preserve">   731431</v>
      </c>
      <c r="B2927" t="str">
        <f>T("   Grillages et treillis, en fils de fer ou d'acier, soudés aux points de rencontre, zingués (sauf en fils dont la plus grande dimension de la coupe transversale est &gt;= 3 mm avec une surface de mailles &gt;= 100 cm²)")</f>
        <v xml:space="preserve">   Grillages et treillis, en fils de fer ou d'acier, soudés aux points de rencontre, zingués (sauf en fils dont la plus grande dimension de la coupe transversale est &gt;= 3 mm avec une surface de mailles &gt;= 100 cm²)</v>
      </c>
      <c r="C2927">
        <v>301086</v>
      </c>
      <c r="D2927">
        <v>74</v>
      </c>
    </row>
    <row r="2928" spans="1:4" x14ac:dyDescent="0.25">
      <c r="A2928" t="str">
        <f>T("   731511")</f>
        <v xml:space="preserve">   731511</v>
      </c>
      <c r="B2928" t="str">
        <f>T("   Chaînes à rouleaux en fonte, fer ou acier")</f>
        <v xml:space="preserve">   Chaînes à rouleaux en fonte, fer ou acier</v>
      </c>
      <c r="C2928">
        <v>423226</v>
      </c>
      <c r="D2928">
        <v>9</v>
      </c>
    </row>
    <row r="2929" spans="1:4" x14ac:dyDescent="0.25">
      <c r="A2929" t="str">
        <f>T("   731519")</f>
        <v xml:space="preserve">   731519</v>
      </c>
      <c r="B2929" t="str">
        <f>T("   Parties de chaînes à maillons articulés en fonte, fer ou acier")</f>
        <v xml:space="preserve">   Parties de chaînes à maillons articulés en fonte, fer ou acier</v>
      </c>
      <c r="C2929">
        <v>40995079</v>
      </c>
      <c r="D2929">
        <v>7328</v>
      </c>
    </row>
    <row r="2930" spans="1:4" x14ac:dyDescent="0.25">
      <c r="A2930" t="str">
        <f>T("   731589")</f>
        <v xml:space="preserve">   731589</v>
      </c>
      <c r="B2930" t="s">
        <v>353</v>
      </c>
      <c r="C2930">
        <v>271567</v>
      </c>
      <c r="D2930">
        <v>56</v>
      </c>
    </row>
    <row r="2931" spans="1:4" x14ac:dyDescent="0.25">
      <c r="A2931" t="str">
        <f>T("   731590")</f>
        <v xml:space="preserve">   731590</v>
      </c>
      <c r="B2931" t="str">
        <f>T("   Parties de chaînes et chaînettes antidérapantes, à maillons à étais, et autres chaînes et chaînettes du n° 7315 (sauf de chaînes à maillons articulés)")</f>
        <v xml:space="preserve">   Parties de chaînes et chaînettes antidérapantes, à maillons à étais, et autres chaînes et chaînettes du n° 7315 (sauf de chaînes à maillons articulés)</v>
      </c>
      <c r="C2931">
        <v>62401</v>
      </c>
      <c r="D2931">
        <v>3</v>
      </c>
    </row>
    <row r="2932" spans="1:4" x14ac:dyDescent="0.25">
      <c r="A2932" t="str">
        <f>T("   731600")</f>
        <v xml:space="preserve">   731600</v>
      </c>
      <c r="B2932" t="str">
        <f>T("   Ancres, grappins et leurs parties, en fonte, fer ou acier")</f>
        <v xml:space="preserve">   Ancres, grappins et leurs parties, en fonte, fer ou acier</v>
      </c>
      <c r="C2932">
        <v>20873303</v>
      </c>
      <c r="D2932">
        <v>18628</v>
      </c>
    </row>
    <row r="2933" spans="1:4" x14ac:dyDescent="0.25">
      <c r="A2933" t="str">
        <f>T("   731815")</f>
        <v xml:space="preserve">   731815</v>
      </c>
      <c r="B2933" t="s">
        <v>354</v>
      </c>
      <c r="C2933">
        <v>5783665</v>
      </c>
      <c r="D2933">
        <v>224</v>
      </c>
    </row>
    <row r="2934" spans="1:4" x14ac:dyDescent="0.25">
      <c r="A2934" t="str">
        <f>T("   731816")</f>
        <v xml:space="preserve">   731816</v>
      </c>
      <c r="B2934" t="str">
        <f>T("   ÉCROUS EN FONTE, FER OU ACIER")</f>
        <v xml:space="preserve">   ÉCROUS EN FONTE, FER OU ACIER</v>
      </c>
      <c r="C2934">
        <v>95114</v>
      </c>
      <c r="D2934">
        <v>2</v>
      </c>
    </row>
    <row r="2935" spans="1:4" x14ac:dyDescent="0.25">
      <c r="A2935" t="str">
        <f>T("   731821")</f>
        <v xml:space="preserve">   731821</v>
      </c>
      <c r="B2935" t="str">
        <f>T("   Rondelles destinées à faire ressort et autres rondelles de blocage, en fonte, fer ou acier")</f>
        <v xml:space="preserve">   Rondelles destinées à faire ressort et autres rondelles de blocage, en fonte, fer ou acier</v>
      </c>
      <c r="C2935">
        <v>192852</v>
      </c>
      <c r="D2935">
        <v>1</v>
      </c>
    </row>
    <row r="2936" spans="1:4" x14ac:dyDescent="0.25">
      <c r="A2936" t="str">
        <f>T("   731824")</f>
        <v xml:space="preserve">   731824</v>
      </c>
      <c r="B2936" t="str">
        <f>T("   Goupilles, chevilles et clavettes en fonte, fer ou acier")</f>
        <v xml:space="preserve">   Goupilles, chevilles et clavettes en fonte, fer ou acier</v>
      </c>
      <c r="C2936">
        <v>849468</v>
      </c>
      <c r="D2936">
        <v>1.5</v>
      </c>
    </row>
    <row r="2937" spans="1:4" x14ac:dyDescent="0.25">
      <c r="A2937" t="str">
        <f>T("   732020")</f>
        <v xml:space="preserve">   732020</v>
      </c>
      <c r="B2937" t="str">
        <f>T("   RESSORTS EN HÉLICE EN FER OU EN ACIER (À L'EXCL. DES RESSORTS SPIRAUX PLATS, RESSORTS DE MONTRES, RESSORTS POUR CANNES ET MANCHES DE PARAPLUIES ET DE PARASOLS ET SAUF RESSORTS-AMORTISSEURS DE LA SECTION 17)")</f>
        <v xml:space="preserve">   RESSORTS EN HÉLICE EN FER OU EN ACIER (À L'EXCL. DES RESSORTS SPIRAUX PLATS, RESSORTS DE MONTRES, RESSORTS POUR CANNES ET MANCHES DE PARAPLUIES ET DE PARASOLS ET SAUF RESSORTS-AMORTISSEURS DE LA SECTION 17)</v>
      </c>
      <c r="C2937">
        <v>420470</v>
      </c>
      <c r="D2937">
        <v>1</v>
      </c>
    </row>
    <row r="2938" spans="1:4" x14ac:dyDescent="0.25">
      <c r="A2938" t="str">
        <f>T("   732090")</f>
        <v xml:space="preserve">   732090</v>
      </c>
      <c r="B2938" t="s">
        <v>355</v>
      </c>
      <c r="C2938">
        <v>2080049</v>
      </c>
      <c r="D2938">
        <v>60</v>
      </c>
    </row>
    <row r="2939" spans="1:4" x14ac:dyDescent="0.25">
      <c r="A2939" t="str">
        <f>T("   732394")</f>
        <v xml:space="preserve">   732394</v>
      </c>
      <c r="B2939" t="s">
        <v>362</v>
      </c>
      <c r="C2939">
        <v>500000</v>
      </c>
      <c r="D2939">
        <v>800</v>
      </c>
    </row>
    <row r="2940" spans="1:4" x14ac:dyDescent="0.25">
      <c r="A2940" t="str">
        <f>T("   732399")</f>
        <v xml:space="preserve">   732399</v>
      </c>
      <c r="B2940" t="s">
        <v>363</v>
      </c>
      <c r="C2940">
        <v>4588930</v>
      </c>
      <c r="D2940">
        <v>11680</v>
      </c>
    </row>
    <row r="2941" spans="1:4" x14ac:dyDescent="0.25">
      <c r="A2941" t="str">
        <f>T("   732690")</f>
        <v xml:space="preserve">   732690</v>
      </c>
      <c r="B2941"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2941">
        <v>713029</v>
      </c>
      <c r="D2941">
        <v>346</v>
      </c>
    </row>
    <row r="2942" spans="1:4" x14ac:dyDescent="0.25">
      <c r="A2942" t="str">
        <f>T("   740819")</f>
        <v xml:space="preserve">   740819</v>
      </c>
      <c r="B2942" t="str">
        <f>T("   Fils de cuivre affiné, plus grande dimension de la section transversale &lt;= 6 mm")</f>
        <v xml:space="preserve">   Fils de cuivre affiné, plus grande dimension de la section transversale &lt;= 6 mm</v>
      </c>
      <c r="C2942">
        <v>18276358</v>
      </c>
      <c r="D2942">
        <v>21298</v>
      </c>
    </row>
    <row r="2943" spans="1:4" x14ac:dyDescent="0.25">
      <c r="A2943" t="str">
        <f>T("   741999")</f>
        <v xml:space="preserve">   741999</v>
      </c>
      <c r="B2943" t="str">
        <f>T("   Ouvrages en cuivre, n.d.a.")</f>
        <v xml:space="preserve">   Ouvrages en cuivre, n.d.a.</v>
      </c>
      <c r="C2943">
        <v>447248</v>
      </c>
      <c r="D2943">
        <v>17</v>
      </c>
    </row>
    <row r="2944" spans="1:4" x14ac:dyDescent="0.25">
      <c r="A2944" t="str">
        <f>T("   760900")</f>
        <v xml:space="preserve">   760900</v>
      </c>
      <c r="B2944" t="str">
        <f>T("   Accessoires de tuyauterie, p.ex. raccords, coudes, manchons, en aluminium")</f>
        <v xml:space="preserve">   Accessoires de tuyauterie, p.ex. raccords, coudes, manchons, en aluminium</v>
      </c>
      <c r="C2944">
        <v>745827</v>
      </c>
      <c r="D2944">
        <v>114</v>
      </c>
    </row>
    <row r="2945" spans="1:4" x14ac:dyDescent="0.25">
      <c r="A2945" t="str">
        <f>T("   820420")</f>
        <v xml:space="preserve">   820420</v>
      </c>
      <c r="B2945" t="str">
        <f>T("   Douilles de serrage interchangeables, même avec manches, en métaux communs")</f>
        <v xml:space="preserve">   Douilles de serrage interchangeables, même avec manches, en métaux communs</v>
      </c>
      <c r="C2945">
        <v>711061</v>
      </c>
      <c r="D2945">
        <v>7</v>
      </c>
    </row>
    <row r="2946" spans="1:4" x14ac:dyDescent="0.25">
      <c r="A2946" t="str">
        <f>T("   820540")</f>
        <v xml:space="preserve">   820540</v>
      </c>
      <c r="B2946" t="str">
        <f>T("   Tournevis à main")</f>
        <v xml:space="preserve">   Tournevis à main</v>
      </c>
      <c r="C2946">
        <v>300003</v>
      </c>
      <c r="D2946">
        <v>280</v>
      </c>
    </row>
    <row r="2947" spans="1:4" x14ac:dyDescent="0.25">
      <c r="A2947" t="str">
        <f>T("   820559")</f>
        <v xml:space="preserve">   820559</v>
      </c>
      <c r="B2947" t="str">
        <f>T("   Outils à main, y.c. -les diamants de vitrier-, en métaux communs, n.d.a.")</f>
        <v xml:space="preserve">   Outils à main, y.c. -les diamants de vitrier-, en métaux communs, n.d.a.</v>
      </c>
      <c r="C2947">
        <v>956390</v>
      </c>
      <c r="D2947">
        <v>568</v>
      </c>
    </row>
    <row r="2948" spans="1:4" x14ac:dyDescent="0.25">
      <c r="A2948" t="str">
        <f>T("   820560")</f>
        <v xml:space="preserve">   820560</v>
      </c>
      <c r="B2948" t="str">
        <f>T("   Lampes à souder et simil. (sauf appareils à souder fonctionnant au gaz)")</f>
        <v xml:space="preserve">   Lampes à souder et simil. (sauf appareils à souder fonctionnant au gaz)</v>
      </c>
      <c r="C2948">
        <v>367993</v>
      </c>
      <c r="D2948">
        <v>3</v>
      </c>
    </row>
    <row r="2949" spans="1:4" x14ac:dyDescent="0.25">
      <c r="A2949" t="str">
        <f>T("   820790")</f>
        <v xml:space="preserve">   820790</v>
      </c>
      <c r="B2949" t="str">
        <f>T("   Outils interchangeables pour outillage à main, mécanique ou non, ou pour machines-outils, n.d.a.")</f>
        <v xml:space="preserve">   Outils interchangeables pour outillage à main, mécanique ou non, ou pour machines-outils, n.d.a.</v>
      </c>
      <c r="C2949">
        <v>35290281</v>
      </c>
      <c r="D2949">
        <v>9087</v>
      </c>
    </row>
    <row r="2950" spans="1:4" x14ac:dyDescent="0.25">
      <c r="A2950" t="str">
        <f>T("   821599")</f>
        <v xml:space="preserve">   821599</v>
      </c>
      <c r="B2950" t="s">
        <v>380</v>
      </c>
      <c r="C2950">
        <v>819950</v>
      </c>
      <c r="D2950">
        <v>500</v>
      </c>
    </row>
    <row r="2951" spans="1:4" x14ac:dyDescent="0.25">
      <c r="A2951" t="str">
        <f>T("   830910")</f>
        <v xml:space="preserve">   830910</v>
      </c>
      <c r="B2951" t="str">
        <f>T("   Bouchons-couronnes en métaux communs")</f>
        <v xml:space="preserve">   Bouchons-couronnes en métaux communs</v>
      </c>
      <c r="C2951">
        <v>498949883</v>
      </c>
      <c r="D2951">
        <v>228827</v>
      </c>
    </row>
    <row r="2952" spans="1:4" x14ac:dyDescent="0.25">
      <c r="A2952" t="str">
        <f>T("   831000")</f>
        <v xml:space="preserve">   831000</v>
      </c>
      <c r="B2952" t="s">
        <v>383</v>
      </c>
      <c r="C2952">
        <v>2068898</v>
      </c>
      <c r="D2952">
        <v>53</v>
      </c>
    </row>
    <row r="2953" spans="1:4" x14ac:dyDescent="0.25">
      <c r="A2953" t="str">
        <f>T("   840219")</f>
        <v xml:space="preserve">   840219</v>
      </c>
      <c r="B2953" t="str">
        <f>T("   Chaudières à vapeur, y.c. les chaudières mixtes (autres que les chaudières aquatubulaires et les chaudières pour le chauffage central conçues pour produire à la fois de l'eau chaude et de la vapeur à basse pression)")</f>
        <v xml:space="preserve">   Chaudières à vapeur, y.c. les chaudières mixtes (autres que les chaudières aquatubulaires et les chaudières pour le chauffage central conçues pour produire à la fois de l'eau chaude et de la vapeur à basse pression)</v>
      </c>
      <c r="C2953">
        <v>16524288</v>
      </c>
      <c r="D2953">
        <v>4155</v>
      </c>
    </row>
    <row r="2954" spans="1:4" x14ac:dyDescent="0.25">
      <c r="A2954" t="str">
        <f>T("   840790")</f>
        <v xml:space="preserve">   840790</v>
      </c>
      <c r="B2954" t="s">
        <v>391</v>
      </c>
      <c r="C2954">
        <v>24816278</v>
      </c>
      <c r="D2954">
        <v>53710</v>
      </c>
    </row>
    <row r="2955" spans="1:4" x14ac:dyDescent="0.25">
      <c r="A2955" t="str">
        <f>T("   840890")</f>
        <v xml:space="preserve">   840890</v>
      </c>
      <c r="B2955" t="s">
        <v>394</v>
      </c>
      <c r="C2955">
        <v>422438</v>
      </c>
      <c r="D2955">
        <v>196</v>
      </c>
    </row>
    <row r="2956" spans="1:4" x14ac:dyDescent="0.25">
      <c r="A2956" t="str">
        <f>T("   840999")</f>
        <v xml:space="preserve">   840999</v>
      </c>
      <c r="B2956"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2956">
        <v>6517751</v>
      </c>
      <c r="D2956">
        <v>1772</v>
      </c>
    </row>
    <row r="2957" spans="1:4" x14ac:dyDescent="0.25">
      <c r="A2957" t="str">
        <f>T("   841311")</f>
        <v xml:space="preserve">   841311</v>
      </c>
      <c r="B2957"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2957">
        <v>914408</v>
      </c>
      <c r="D2957">
        <v>29</v>
      </c>
    </row>
    <row r="2958" spans="1:4" x14ac:dyDescent="0.25">
      <c r="A2958" t="str">
        <f>T("   841350")</f>
        <v xml:space="preserve">   841350</v>
      </c>
      <c r="B2958" t="s">
        <v>395</v>
      </c>
      <c r="C2958">
        <v>3535624</v>
      </c>
      <c r="D2958">
        <v>36</v>
      </c>
    </row>
    <row r="2959" spans="1:4" x14ac:dyDescent="0.25">
      <c r="A2959" t="str">
        <f>T("   841360")</f>
        <v xml:space="preserve">   841360</v>
      </c>
      <c r="B2959" t="s">
        <v>396</v>
      </c>
      <c r="C2959">
        <v>2829155</v>
      </c>
      <c r="D2959">
        <v>11</v>
      </c>
    </row>
    <row r="2960" spans="1:4" x14ac:dyDescent="0.25">
      <c r="A2960" t="str">
        <f>T("   841381")</f>
        <v xml:space="preserve">   841381</v>
      </c>
      <c r="B2960" t="s">
        <v>398</v>
      </c>
      <c r="C2960">
        <v>407989178</v>
      </c>
      <c r="D2960">
        <v>102897</v>
      </c>
    </row>
    <row r="2961" spans="1:4" x14ac:dyDescent="0.25">
      <c r="A2961" t="str">
        <f>T("   841391")</f>
        <v xml:space="preserve">   841391</v>
      </c>
      <c r="B2961" t="str">
        <f>T("   Parties de pompes pour liquides, n.d.a.")</f>
        <v xml:space="preserve">   Parties de pompes pour liquides, n.d.a.</v>
      </c>
      <c r="C2961">
        <v>3006085</v>
      </c>
      <c r="D2961">
        <v>647</v>
      </c>
    </row>
    <row r="2962" spans="1:4" x14ac:dyDescent="0.25">
      <c r="A2962" t="str">
        <f>T("   841430")</f>
        <v xml:space="preserve">   841430</v>
      </c>
      <c r="B2962" t="str">
        <f>T("   Compresseurs des types utilisés pour équipements frigorifiques")</f>
        <v xml:space="preserve">   Compresseurs des types utilisés pour équipements frigorifiques</v>
      </c>
      <c r="C2962">
        <v>6436188</v>
      </c>
      <c r="D2962">
        <v>2017.5</v>
      </c>
    </row>
    <row r="2963" spans="1:4" x14ac:dyDescent="0.25">
      <c r="A2963" t="str">
        <f>T("   841440")</f>
        <v xml:space="preserve">   841440</v>
      </c>
      <c r="B2963" t="str">
        <f>T("   Compresseurs d'air montés sur châssis à roues et remorquables")</f>
        <v xml:space="preserve">   Compresseurs d'air montés sur châssis à roues et remorquables</v>
      </c>
      <c r="C2963">
        <v>103642</v>
      </c>
      <c r="D2963">
        <v>1</v>
      </c>
    </row>
    <row r="2964" spans="1:4" x14ac:dyDescent="0.25">
      <c r="A2964" t="str">
        <f>T("   841459")</f>
        <v xml:space="preserve">   841459</v>
      </c>
      <c r="B2964"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2964">
        <v>945540</v>
      </c>
      <c r="D2964">
        <v>59</v>
      </c>
    </row>
    <row r="2965" spans="1:4" x14ac:dyDescent="0.25">
      <c r="A2965" t="str">
        <f>T("   841480")</f>
        <v xml:space="preserve">   841480</v>
      </c>
      <c r="B2965" t="s">
        <v>399</v>
      </c>
      <c r="C2965">
        <v>4146978</v>
      </c>
      <c r="D2965">
        <v>803</v>
      </c>
    </row>
    <row r="2966" spans="1:4" x14ac:dyDescent="0.25">
      <c r="A2966" t="str">
        <f>T("   841490")</f>
        <v xml:space="preserve">   841490</v>
      </c>
      <c r="B2966"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2966">
        <v>7920717</v>
      </c>
      <c r="D2966">
        <v>33</v>
      </c>
    </row>
    <row r="2967" spans="1:4" x14ac:dyDescent="0.25">
      <c r="A2967" t="str">
        <f>T("   841630")</f>
        <v xml:space="preserve">   841630</v>
      </c>
      <c r="B2967" t="str">
        <f>T("   FOYERS AUTOMATIQUES, Y.C. LEURS AVANT-FOYERS, GRILLES MÉCANIQUES, DISPOSITIFS MÉCANIQUES POUR L'ÉVACUATION DES CENDRES ET DISPOSITIFS SIMIL. (SAUF BR¹LEURS)")</f>
        <v xml:space="preserve">   FOYERS AUTOMATIQUES, Y.C. LEURS AVANT-FOYERS, GRILLES MÉCANIQUES, DISPOSITIFS MÉCANIQUES POUR L'ÉVACUATION DES CENDRES ET DISPOSITIFS SIMIL. (SAUF BR¹LEURS)</v>
      </c>
      <c r="C2967">
        <v>130798424</v>
      </c>
      <c r="D2967">
        <v>8000</v>
      </c>
    </row>
    <row r="2968" spans="1:4" x14ac:dyDescent="0.25">
      <c r="A2968" t="str">
        <f>T("   841690")</f>
        <v xml:space="preserve">   841690</v>
      </c>
      <c r="B2968" t="str">
        <f>T("   PARTIES DE BR¹LEURS POUR L'ALIMENTATION DES FOYERS ET DES FOYERS AUTOMATIQUES, DE LEURS AVANT-FOYERS, GRILLES MÉCANIQUES, DISPOSITIFS MÉCANIQUES POUR L'ÉVACUATION DES CENDRES ET DISPOSITIFS SIMIL., N.D.A.")</f>
        <v xml:space="preserve">   PARTIES DE BR¹LEURS POUR L'ALIMENTATION DES FOYERS ET DES FOYERS AUTOMATIQUES, DE LEURS AVANT-FOYERS, GRILLES MÉCANIQUES, DISPOSITIFS MÉCANIQUES POUR L'ÉVACUATION DES CENDRES ET DISPOSITIFS SIMIL., N.D.A.</v>
      </c>
      <c r="C2968">
        <v>386061</v>
      </c>
      <c r="D2968">
        <v>1</v>
      </c>
    </row>
    <row r="2969" spans="1:4" x14ac:dyDescent="0.25">
      <c r="A2969" t="str">
        <f>T("   841829")</f>
        <v xml:space="preserve">   841829</v>
      </c>
      <c r="B2969" t="str">
        <f>T("   Réfrigérateurs ménagers à absorption, non-électriques")</f>
        <v xml:space="preserve">   Réfrigérateurs ménagers à absorption, non-électriques</v>
      </c>
      <c r="C2969">
        <v>6213782</v>
      </c>
      <c r="D2969">
        <v>14574</v>
      </c>
    </row>
    <row r="2970" spans="1:4" x14ac:dyDescent="0.25">
      <c r="A2970" t="str">
        <f>T("   841850")</f>
        <v xml:space="preserve">   841850</v>
      </c>
      <c r="B2970" t="s">
        <v>404</v>
      </c>
      <c r="C2970">
        <v>446054</v>
      </c>
      <c r="D2970">
        <v>135</v>
      </c>
    </row>
    <row r="2971" spans="1:4" x14ac:dyDescent="0.25">
      <c r="A2971" t="str">
        <f>T("   841869")</f>
        <v xml:space="preserve">   841869</v>
      </c>
      <c r="B2971"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2971">
        <v>5237545</v>
      </c>
      <c r="D2971">
        <v>895.5</v>
      </c>
    </row>
    <row r="2972" spans="1:4" x14ac:dyDescent="0.25">
      <c r="A2972" t="str">
        <f>T("   841899")</f>
        <v xml:space="preserve">   841899</v>
      </c>
      <c r="B2972"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2972">
        <v>2148447</v>
      </c>
      <c r="D2972">
        <v>100</v>
      </c>
    </row>
    <row r="2973" spans="1:4" x14ac:dyDescent="0.25">
      <c r="A2973" t="str">
        <f>T("   841989")</f>
        <v xml:space="preserve">   841989</v>
      </c>
      <c r="B2973" t="s">
        <v>405</v>
      </c>
      <c r="C2973">
        <v>50596818</v>
      </c>
      <c r="D2973">
        <v>12109</v>
      </c>
    </row>
    <row r="2974" spans="1:4" x14ac:dyDescent="0.25">
      <c r="A2974" t="str">
        <f>T("   841990")</f>
        <v xml:space="preserve">   841990</v>
      </c>
      <c r="B2974" t="str">
        <f>T("   Parties d'appareils et dispositifs, même chauffés électriquement, pour le traitement de matières par des opérations impliquant un changement de température, ainsi que de chauffe-eau non-électriques à chauffage instantané ou à accumulation, n.d.a.")</f>
        <v xml:space="preserve">   Parties d'appareils et dispositifs, même chauffés électriquement, pour le traitement de matières par des opérations impliquant un changement de température, ainsi que de chauffe-eau non-électriques à chauffage instantané ou à accumulation, n.d.a.</v>
      </c>
      <c r="C2974">
        <v>61660</v>
      </c>
      <c r="D2974">
        <v>1</v>
      </c>
    </row>
    <row r="2975" spans="1:4" x14ac:dyDescent="0.25">
      <c r="A2975" t="str">
        <f>T("   842121")</f>
        <v xml:space="preserve">   842121</v>
      </c>
      <c r="B2975" t="str">
        <f>T("   Appareils pour la filtration ou l'épuration des eaux")</f>
        <v xml:space="preserve">   Appareils pour la filtration ou l'épuration des eaux</v>
      </c>
      <c r="C2975">
        <v>121949215</v>
      </c>
      <c r="D2975">
        <v>5112</v>
      </c>
    </row>
    <row r="2976" spans="1:4" x14ac:dyDescent="0.25">
      <c r="A2976" t="str">
        <f>T("   842122")</f>
        <v xml:space="preserve">   842122</v>
      </c>
      <c r="B2976" t="str">
        <f>T("   Appareils pour la filtration ou l'épuration des boissons (autres que l'eau)")</f>
        <v xml:space="preserve">   Appareils pour la filtration ou l'épuration des boissons (autres que l'eau)</v>
      </c>
      <c r="C2976">
        <v>11284480</v>
      </c>
      <c r="D2976">
        <v>2838</v>
      </c>
    </row>
    <row r="2977" spans="1:4" x14ac:dyDescent="0.25">
      <c r="A2977" t="str">
        <f>T("   842123")</f>
        <v xml:space="preserve">   842123</v>
      </c>
      <c r="B2977"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2977">
        <v>906536</v>
      </c>
      <c r="D2977">
        <v>11</v>
      </c>
    </row>
    <row r="2978" spans="1:4" x14ac:dyDescent="0.25">
      <c r="A2978" t="str">
        <f>T("   842129")</f>
        <v xml:space="preserve">   842129</v>
      </c>
      <c r="B2978"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2978">
        <v>2482889</v>
      </c>
      <c r="D2978">
        <v>6</v>
      </c>
    </row>
    <row r="2979" spans="1:4" x14ac:dyDescent="0.25">
      <c r="A2979" t="str">
        <f>T("   842139")</f>
        <v xml:space="preserve">   842139</v>
      </c>
      <c r="B2979"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2979">
        <v>2213803</v>
      </c>
      <c r="D2979">
        <v>81.25</v>
      </c>
    </row>
    <row r="2980" spans="1:4" x14ac:dyDescent="0.25">
      <c r="A2980" t="str">
        <f>T("   842199")</f>
        <v xml:space="preserve">   842199</v>
      </c>
      <c r="B2980" t="str">
        <f>T("   Parties d'appareils pour la filtration ou l'épuration des liquides ou des gaz, n.d.a.")</f>
        <v xml:space="preserve">   Parties d'appareils pour la filtration ou l'épuration des liquides ou des gaz, n.d.a.</v>
      </c>
      <c r="C2980">
        <v>6644875</v>
      </c>
      <c r="D2980">
        <v>24</v>
      </c>
    </row>
    <row r="2981" spans="1:4" x14ac:dyDescent="0.25">
      <c r="A2981" t="str">
        <f>T("   842211")</f>
        <v xml:space="preserve">   842211</v>
      </c>
      <c r="B2981" t="str">
        <f>T("   Machines à laver la vaisselle, de type ménager")</f>
        <v xml:space="preserve">   Machines à laver la vaisselle, de type ménager</v>
      </c>
      <c r="C2981">
        <v>1102013</v>
      </c>
      <c r="D2981">
        <v>1946</v>
      </c>
    </row>
    <row r="2982" spans="1:4" x14ac:dyDescent="0.25">
      <c r="A2982" t="str">
        <f>T("   842290")</f>
        <v xml:space="preserve">   842290</v>
      </c>
      <c r="B2982"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2982">
        <v>203286208</v>
      </c>
      <c r="D2982">
        <v>1193.5</v>
      </c>
    </row>
    <row r="2983" spans="1:4" x14ac:dyDescent="0.25">
      <c r="A2983" t="str">
        <f>T("   842310")</f>
        <v xml:space="preserve">   842310</v>
      </c>
      <c r="B2983" t="str">
        <f>T("   Pèse-personnes, y.c. les pèse-bébés; balances de ménage")</f>
        <v xml:space="preserve">   Pèse-personnes, y.c. les pèse-bébés; balances de ménage</v>
      </c>
      <c r="C2983">
        <v>7427434</v>
      </c>
      <c r="D2983">
        <v>800</v>
      </c>
    </row>
    <row r="2984" spans="1:4" x14ac:dyDescent="0.25">
      <c r="A2984" t="str">
        <f>T("   842390")</f>
        <v xml:space="preserve">   842390</v>
      </c>
      <c r="B2984" t="str">
        <f>T("   Poids pour balances de tous genres; parties d'appareils et instruments de pesage, n.d.a.")</f>
        <v xml:space="preserve">   Poids pour balances de tous genres; parties d'appareils et instruments de pesage, n.d.a.</v>
      </c>
      <c r="C2984">
        <v>17984455</v>
      </c>
      <c r="D2984">
        <v>1987</v>
      </c>
    </row>
    <row r="2985" spans="1:4" x14ac:dyDescent="0.25">
      <c r="A2985" t="str">
        <f>T("   842430")</f>
        <v xml:space="preserve">   842430</v>
      </c>
      <c r="B2985" t="s">
        <v>409</v>
      </c>
      <c r="C2985">
        <v>2471658</v>
      </c>
      <c r="D2985">
        <v>191</v>
      </c>
    </row>
    <row r="2986" spans="1:4" x14ac:dyDescent="0.25">
      <c r="A2986" t="str">
        <f>T("   842549")</f>
        <v xml:space="preserve">   842549</v>
      </c>
      <c r="B2986" t="str">
        <f>T("   Crics et vérins, non hydrauliques")</f>
        <v xml:space="preserve">   Crics et vérins, non hydrauliques</v>
      </c>
      <c r="C2986">
        <v>8556650</v>
      </c>
      <c r="D2986">
        <v>5519</v>
      </c>
    </row>
    <row r="2987" spans="1:4" x14ac:dyDescent="0.25">
      <c r="A2987" t="str">
        <f>T("   842839")</f>
        <v xml:space="preserve">   842839</v>
      </c>
      <c r="B2987"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2987">
        <v>6000066</v>
      </c>
      <c r="D2987">
        <v>12000</v>
      </c>
    </row>
    <row r="2988" spans="1:4" x14ac:dyDescent="0.25">
      <c r="A2988" t="str">
        <f>T("   842940")</f>
        <v xml:space="preserve">   842940</v>
      </c>
      <c r="B2988" t="str">
        <f>T("   Rouleaux compresseurs et autres compacteuses, autopropulsés")</f>
        <v xml:space="preserve">   Rouleaux compresseurs et autres compacteuses, autopropulsés</v>
      </c>
      <c r="C2988">
        <v>131192</v>
      </c>
      <c r="D2988">
        <v>3100</v>
      </c>
    </row>
    <row r="2989" spans="1:4" x14ac:dyDescent="0.25">
      <c r="A2989" t="str">
        <f>T("   842951")</f>
        <v xml:space="preserve">   842951</v>
      </c>
      <c r="B2989" t="str">
        <f>T("   Chargeuses et chargeuses-pelleteuses, à chargement frontal, autopropulsées")</f>
        <v xml:space="preserve">   Chargeuses et chargeuses-pelleteuses, à chargement frontal, autopropulsées</v>
      </c>
      <c r="C2989">
        <v>24401712</v>
      </c>
      <c r="D2989">
        <v>13500</v>
      </c>
    </row>
    <row r="2990" spans="1:4" x14ac:dyDescent="0.25">
      <c r="A2990" t="str">
        <f>T("   843120")</f>
        <v xml:space="preserve">   843120</v>
      </c>
      <c r="B2990" t="str">
        <f>T("   Parties de chariots-gerbeurs et autres chariots de manutention munis d'un dispositif de levage, n.d.a.")</f>
        <v xml:space="preserve">   Parties de chariots-gerbeurs et autres chariots de manutention munis d'un dispositif de levage, n.d.a.</v>
      </c>
      <c r="C2990">
        <v>176259</v>
      </c>
      <c r="D2990">
        <v>8</v>
      </c>
    </row>
    <row r="2991" spans="1:4" x14ac:dyDescent="0.25">
      <c r="A2991" t="str">
        <f>T("   843139")</f>
        <v xml:space="preserve">   843139</v>
      </c>
      <c r="B2991" t="str">
        <f>T("   Parties de machines et appareils du n° 8428, n.d.a.")</f>
        <v xml:space="preserve">   Parties de machines et appareils du n° 8428, n.d.a.</v>
      </c>
      <c r="C2991">
        <v>23200414</v>
      </c>
      <c r="D2991">
        <v>1083</v>
      </c>
    </row>
    <row r="2992" spans="1:4" x14ac:dyDescent="0.25">
      <c r="A2992" t="str">
        <f>T("   843143")</f>
        <v xml:space="preserve">   843143</v>
      </c>
      <c r="B2992" t="str">
        <f>T("   Parties de machines de sondage ou de forage du n° 8430.41 ou 8430.49, n.d.a.")</f>
        <v xml:space="preserve">   Parties de machines de sondage ou de forage du n° 8430.41 ou 8430.49, n.d.a.</v>
      </c>
      <c r="C2992">
        <v>7954435</v>
      </c>
      <c r="D2992">
        <v>1335</v>
      </c>
    </row>
    <row r="2993" spans="1:4" x14ac:dyDescent="0.25">
      <c r="A2993" t="str">
        <f>T("   843149")</f>
        <v xml:space="preserve">   843149</v>
      </c>
      <c r="B2993" t="str">
        <f>T("   Parties de machines et appareils du n° 8426, 8429 ou 8430, n.d.a.")</f>
        <v xml:space="preserve">   Parties de machines et appareils du n° 8426, 8429 ou 8430, n.d.a.</v>
      </c>
      <c r="C2993">
        <v>43473393</v>
      </c>
      <c r="D2993">
        <v>10391</v>
      </c>
    </row>
    <row r="2994" spans="1:4" x14ac:dyDescent="0.25">
      <c r="A2994" t="str">
        <f>T("   843311")</f>
        <v xml:space="preserve">   843311</v>
      </c>
      <c r="B2994" t="str">
        <f>T("   Tondeuses à gazon à moteur, dont le dispositif de coupe tourne dans un plan horizontal")</f>
        <v xml:space="preserve">   Tondeuses à gazon à moteur, dont le dispositif de coupe tourne dans un plan horizontal</v>
      </c>
      <c r="C2994">
        <v>4809319</v>
      </c>
      <c r="D2994">
        <v>527</v>
      </c>
    </row>
    <row r="2995" spans="1:4" x14ac:dyDescent="0.25">
      <c r="A2995" t="str">
        <f>T("   843621")</f>
        <v xml:space="preserve">   843621</v>
      </c>
      <c r="B2995" t="str">
        <f>T("   Couveuses et éleveuses pour l'aviculture")</f>
        <v xml:space="preserve">   Couveuses et éleveuses pour l'aviculture</v>
      </c>
      <c r="C2995">
        <v>88200</v>
      </c>
      <c r="D2995">
        <v>55</v>
      </c>
    </row>
    <row r="2996" spans="1:4" x14ac:dyDescent="0.25">
      <c r="A2996" t="str">
        <f>T("   843780")</f>
        <v xml:space="preserve">   843780</v>
      </c>
      <c r="B2996" t="s">
        <v>415</v>
      </c>
      <c r="C2996">
        <v>100000</v>
      </c>
      <c r="D2996">
        <v>100</v>
      </c>
    </row>
    <row r="2997" spans="1:4" x14ac:dyDescent="0.25">
      <c r="A2997" t="str">
        <f>T("   843810")</f>
        <v xml:space="preserve">   843810</v>
      </c>
      <c r="B2997" t="s">
        <v>416</v>
      </c>
      <c r="C2997">
        <v>1712238</v>
      </c>
      <c r="D2997">
        <v>1200</v>
      </c>
    </row>
    <row r="2998" spans="1:4" x14ac:dyDescent="0.25">
      <c r="A2998" t="str">
        <f>T("   843840")</f>
        <v xml:space="preserve">   843840</v>
      </c>
      <c r="B2998" t="str">
        <f>T("   Machines et appareils pour la brasserie (sauf centrifugeuses et sauf appareils de filtrage, appareils thermiques et appareils de refroidissement)")</f>
        <v xml:space="preserve">   Machines et appareils pour la brasserie (sauf centrifugeuses et sauf appareils de filtrage, appareils thermiques et appareils de refroidissement)</v>
      </c>
      <c r="C2998">
        <v>286211092</v>
      </c>
      <c r="D2998">
        <v>52724</v>
      </c>
    </row>
    <row r="2999" spans="1:4" x14ac:dyDescent="0.25">
      <c r="A2999" t="str">
        <f>T("   843880")</f>
        <v xml:space="preserve">   843880</v>
      </c>
      <c r="B2999" t="str">
        <f>T("   Machines et appareils pour la préparation ou la fabrication industrielles d'aliments ou de boissons, n.d.a.")</f>
        <v xml:space="preserve">   Machines et appareils pour la préparation ou la fabrication industrielles d'aliments ou de boissons, n.d.a.</v>
      </c>
      <c r="C2999">
        <v>623634</v>
      </c>
      <c r="D2999">
        <v>65</v>
      </c>
    </row>
    <row r="3000" spans="1:4" x14ac:dyDescent="0.25">
      <c r="A3000" t="str">
        <f>T("   843890")</f>
        <v xml:space="preserve">   843890</v>
      </c>
      <c r="B3000"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3000">
        <v>437472187</v>
      </c>
      <c r="D3000">
        <v>23405</v>
      </c>
    </row>
    <row r="3001" spans="1:4" x14ac:dyDescent="0.25">
      <c r="A3001" t="str">
        <f>T("   844319")</f>
        <v xml:space="preserve">   844319</v>
      </c>
      <c r="B3001" t="s">
        <v>420</v>
      </c>
      <c r="C3001">
        <v>17382940</v>
      </c>
      <c r="D3001">
        <v>14500</v>
      </c>
    </row>
    <row r="3002" spans="1:4" x14ac:dyDescent="0.25">
      <c r="A3002" t="str">
        <f>T("   844359")</f>
        <v xml:space="preserve">   844359</v>
      </c>
      <c r="B3002" t="s">
        <v>421</v>
      </c>
      <c r="C3002">
        <v>2492648</v>
      </c>
      <c r="D3002">
        <v>5000</v>
      </c>
    </row>
    <row r="3003" spans="1:4" x14ac:dyDescent="0.25">
      <c r="A3003" t="str">
        <f>T("   844360")</f>
        <v xml:space="preserve">   844360</v>
      </c>
      <c r="B3003" t="str">
        <f>T("   Machines auxiliaires pour l'impression fabriquées spécialement pour les machines et appareils à imprimer, pour placer, transporter ou travailler autrement les feuilles de papier ou les bandes continues de papier")</f>
        <v xml:space="preserve">   Machines auxiliaires pour l'impression fabriquées spécialement pour les machines et appareils à imprimer, pour placer, transporter ou travailler autrement les feuilles de papier ou les bandes continues de papier</v>
      </c>
      <c r="C3003">
        <v>1311920</v>
      </c>
      <c r="D3003">
        <v>3000</v>
      </c>
    </row>
    <row r="3004" spans="1:4" x14ac:dyDescent="0.25">
      <c r="A3004" t="str">
        <f>T("   844390")</f>
        <v xml:space="preserve">   844390</v>
      </c>
      <c r="B3004" t="str">
        <f>T("   Parties de machines et appareils à imprimer et de leur machines et appareils auxiliaires, n.d.a.")</f>
        <v xml:space="preserve">   Parties de machines et appareils à imprimer et de leur machines et appareils auxiliaires, n.d.a.</v>
      </c>
      <c r="C3004">
        <v>1598574</v>
      </c>
      <c r="D3004">
        <v>76</v>
      </c>
    </row>
    <row r="3005" spans="1:4" x14ac:dyDescent="0.25">
      <c r="A3005" t="str">
        <f>T("   844819")</f>
        <v xml:space="preserve">   844819</v>
      </c>
      <c r="B3005" t="str">
        <f>T("   Machines et appareils auxiliaires pour machines du n° 8444, 8445, 8446 ou 8447 (sauf ratières -mécaniques d'armes- et mécaniques Jacquard, réducteurs, perforatrices et copieuses de cartons, machines à lacer les cartons après perforation)")</f>
        <v xml:space="preserve">   Machines et appareils auxiliaires pour machines du n° 8444, 8445, 8446 ou 8447 (sauf ratières -mécaniques d'armes- et mécaniques Jacquard, réducteurs, perforatrices et copieuses de cartons, machines à lacer les cartons après perforation)</v>
      </c>
      <c r="C3005">
        <v>3501967</v>
      </c>
      <c r="D3005">
        <v>303</v>
      </c>
    </row>
    <row r="3006" spans="1:4" x14ac:dyDescent="0.25">
      <c r="A3006" t="str">
        <f>T("   845019")</f>
        <v xml:space="preserve">   845019</v>
      </c>
      <c r="B3006"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3006">
        <v>50509</v>
      </c>
      <c r="D3006">
        <v>55</v>
      </c>
    </row>
    <row r="3007" spans="1:4" x14ac:dyDescent="0.25">
      <c r="A3007" t="str">
        <f>T("   845229")</f>
        <v xml:space="preserve">   845229</v>
      </c>
      <c r="B3007" t="str">
        <f>T("   Machines à coudre de type industriel (sauf unités automatiques)")</f>
        <v xml:space="preserve">   Machines à coudre de type industriel (sauf unités automatiques)</v>
      </c>
      <c r="C3007">
        <v>1290929</v>
      </c>
      <c r="D3007">
        <v>3200</v>
      </c>
    </row>
    <row r="3008" spans="1:4" x14ac:dyDescent="0.25">
      <c r="A3008" t="str">
        <f>T("   846390")</f>
        <v xml:space="preserve">   846390</v>
      </c>
      <c r="B3008" t="s">
        <v>429</v>
      </c>
      <c r="C3008">
        <v>1790771</v>
      </c>
      <c r="D3008">
        <v>1440</v>
      </c>
    </row>
    <row r="3009" spans="1:4" x14ac:dyDescent="0.25">
      <c r="A3009" t="str">
        <f>T("   846410")</f>
        <v xml:space="preserve">   846410</v>
      </c>
      <c r="B3009" t="str">
        <f>T("   Machines à scier pour le travail de la pierre, des produits céramiques, du béton, de l'amiante-ciment ou de matières minérales simil., ou pour le travail à froid du verre (à l'excl. des machines pour emploi à la main)")</f>
        <v xml:space="preserve">   Machines à scier pour le travail de la pierre, des produits céramiques, du béton, de l'amiante-ciment ou de matières minérales simil., ou pour le travail à froid du verre (à l'excl. des machines pour emploi à la main)</v>
      </c>
      <c r="C3009">
        <v>4361478</v>
      </c>
      <c r="D3009">
        <v>298</v>
      </c>
    </row>
    <row r="3010" spans="1:4" x14ac:dyDescent="0.25">
      <c r="A3010" t="str">
        <f>T("   846591")</f>
        <v xml:space="preserve">   846591</v>
      </c>
      <c r="B3010" t="str">
        <f>T("   Machines à scier, pour le travail du bois, des matières plastiques dures, etc. (autres que pour emploi à la main)")</f>
        <v xml:space="preserve">   Machines à scier, pour le travail du bois, des matières plastiques dures, etc. (autres que pour emploi à la main)</v>
      </c>
      <c r="C3010">
        <v>11323402</v>
      </c>
      <c r="D3010">
        <v>12580</v>
      </c>
    </row>
    <row r="3011" spans="1:4" x14ac:dyDescent="0.25">
      <c r="A3011" t="str">
        <f>T("   846599")</f>
        <v xml:space="preserve">   846599</v>
      </c>
      <c r="B3011" t="s">
        <v>431</v>
      </c>
      <c r="C3011">
        <v>252091</v>
      </c>
      <c r="D3011">
        <v>1360</v>
      </c>
    </row>
    <row r="3012" spans="1:4" x14ac:dyDescent="0.25">
      <c r="A3012" t="str">
        <f>T("   846691")</f>
        <v xml:space="preserve">   846691</v>
      </c>
      <c r="B3012" t="str">
        <f>T("   Parties et accessoires pour machines-outils pour le travail de la pierre, des produits céramiques, du béton, etc., y.c. le travail à froid du verre, n.d.a.")</f>
        <v xml:space="preserve">   Parties et accessoires pour machines-outils pour le travail de la pierre, des produits céramiques, du béton, etc., y.c. le travail à froid du verre, n.d.a.</v>
      </c>
      <c r="C3012">
        <v>1090862</v>
      </c>
      <c r="D3012">
        <v>15</v>
      </c>
    </row>
    <row r="3013" spans="1:4" x14ac:dyDescent="0.25">
      <c r="A3013" t="str">
        <f>T("   846721")</f>
        <v xml:space="preserve">   846721</v>
      </c>
      <c r="B3013" t="str">
        <f>T("   Perceuses à moteur électrique incorporé, pour emploi à la main, y.c. les perforatrices rotatives")</f>
        <v xml:space="preserve">   Perceuses à moteur électrique incorporé, pour emploi à la main, y.c. les perforatrices rotatives</v>
      </c>
      <c r="C3013">
        <v>11775794</v>
      </c>
      <c r="D3013">
        <v>1862</v>
      </c>
    </row>
    <row r="3014" spans="1:4" x14ac:dyDescent="0.25">
      <c r="A3014" t="str">
        <f>T("   847110")</f>
        <v xml:space="preserve">   847110</v>
      </c>
      <c r="B3014" t="str">
        <f>T("   Machines automatiques de traitement de l'information, analogiques ou hybrides")</f>
        <v xml:space="preserve">   Machines automatiques de traitement de l'information, analogiques ou hybrides</v>
      </c>
      <c r="C3014">
        <v>450000</v>
      </c>
      <c r="D3014">
        <v>471</v>
      </c>
    </row>
    <row r="3015" spans="1:4" x14ac:dyDescent="0.25">
      <c r="A3015" t="str">
        <f>T("   847130")</f>
        <v xml:space="preserve">   847130</v>
      </c>
      <c r="B3015"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3015">
        <v>350939</v>
      </c>
      <c r="D3015">
        <v>150</v>
      </c>
    </row>
    <row r="3016" spans="1:4" x14ac:dyDescent="0.25">
      <c r="A3016" t="str">
        <f>T("   847149")</f>
        <v xml:space="preserve">   847149</v>
      </c>
      <c r="B3016" t="s">
        <v>435</v>
      </c>
      <c r="C3016">
        <v>19493753</v>
      </c>
      <c r="D3016">
        <v>2986</v>
      </c>
    </row>
    <row r="3017" spans="1:4" x14ac:dyDescent="0.25">
      <c r="A3017" t="str">
        <f>T("   847170")</f>
        <v xml:space="preserve">   847170</v>
      </c>
      <c r="B3017" t="str">
        <f>T("   UNITÉS DE MÉMOIRE POUR MACHINES AUTOMATIQUES DE TRAITEMENT DE L'INFORMATION")</f>
        <v xml:space="preserve">   UNITÉS DE MÉMOIRE POUR MACHINES AUTOMATIQUES DE TRAITEMENT DE L'INFORMATION</v>
      </c>
      <c r="C3017">
        <v>1073151</v>
      </c>
      <c r="D3017">
        <v>0.5</v>
      </c>
    </row>
    <row r="3018" spans="1:4" x14ac:dyDescent="0.25">
      <c r="A3018" t="str">
        <f>T("   847180")</f>
        <v xml:space="preserve">   847180</v>
      </c>
      <c r="B3018"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3018">
        <v>3000361</v>
      </c>
      <c r="D3018">
        <v>4910</v>
      </c>
    </row>
    <row r="3019" spans="1:4" x14ac:dyDescent="0.25">
      <c r="A3019" t="str">
        <f>T("   847190")</f>
        <v xml:space="preserve">   847190</v>
      </c>
      <c r="B3019"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019">
        <v>1167217</v>
      </c>
      <c r="D3019">
        <v>50</v>
      </c>
    </row>
    <row r="3020" spans="1:4" x14ac:dyDescent="0.25">
      <c r="A3020" t="str">
        <f>T("   847330")</f>
        <v xml:space="preserve">   847330</v>
      </c>
      <c r="B3020" t="str">
        <f>T("   Parties et accessoires pour machines automatiques de traitement de l'information ou pour autres machines du n° 8471, n.d.a.")</f>
        <v xml:space="preserve">   Parties et accessoires pour machines automatiques de traitement de l'information ou pour autres machines du n° 8471, n.d.a.</v>
      </c>
      <c r="C3020">
        <v>2896719</v>
      </c>
      <c r="D3020">
        <v>5.5</v>
      </c>
    </row>
    <row r="3021" spans="1:4" x14ac:dyDescent="0.25">
      <c r="A3021" t="str">
        <f>T("   847480")</f>
        <v xml:space="preserve">   847480</v>
      </c>
      <c r="B3021" t="s">
        <v>437</v>
      </c>
      <c r="C3021">
        <v>321420401</v>
      </c>
      <c r="D3021">
        <v>112310</v>
      </c>
    </row>
    <row r="3022" spans="1:4" x14ac:dyDescent="0.25">
      <c r="A3022" t="str">
        <f>T("   847490")</f>
        <v xml:space="preserve">   847490</v>
      </c>
      <c r="B3022" t="str">
        <f>T("   Parties des machines et appareils pour le travail des matières minérales du n° 8474, n.d.a.")</f>
        <v xml:space="preserve">   Parties des machines et appareils pour le travail des matières minérales du n° 8474, n.d.a.</v>
      </c>
      <c r="C3022">
        <v>38667529</v>
      </c>
      <c r="D3022">
        <v>7832</v>
      </c>
    </row>
    <row r="3023" spans="1:4" x14ac:dyDescent="0.25">
      <c r="A3023" t="str">
        <f>T("   847759")</f>
        <v xml:space="preserve">   847759</v>
      </c>
      <c r="B3023" t="s">
        <v>438</v>
      </c>
      <c r="C3023">
        <v>978122</v>
      </c>
      <c r="D3023">
        <v>60</v>
      </c>
    </row>
    <row r="3024" spans="1:4" x14ac:dyDescent="0.25">
      <c r="A3024" t="str">
        <f>T("   847790")</f>
        <v xml:space="preserve">   847790</v>
      </c>
      <c r="B3024"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3024">
        <v>7933292</v>
      </c>
      <c r="D3024">
        <v>34.5</v>
      </c>
    </row>
    <row r="3025" spans="1:4" x14ac:dyDescent="0.25">
      <c r="A3025" t="str">
        <f>T("   847910")</f>
        <v xml:space="preserve">   847910</v>
      </c>
      <c r="B3025" t="str">
        <f>T("   Machines et appareils pour les travaux publics, le bâtiment ou les travaux analogues, n.d.a.")</f>
        <v xml:space="preserve">   Machines et appareils pour les travaux publics, le bâtiment ou les travaux analogues, n.d.a.</v>
      </c>
      <c r="C3025">
        <v>1983408</v>
      </c>
      <c r="D3025">
        <v>5135</v>
      </c>
    </row>
    <row r="3026" spans="1:4" x14ac:dyDescent="0.25">
      <c r="A3026" t="str">
        <f>T("   847989")</f>
        <v xml:space="preserve">   847989</v>
      </c>
      <c r="B3026" t="str">
        <f>T("   Machines et appareils, y.c. les appareils mécaniques, n.d.a.")</f>
        <v xml:space="preserve">   Machines et appareils, y.c. les appareils mécaniques, n.d.a.</v>
      </c>
      <c r="C3026">
        <v>9090343</v>
      </c>
      <c r="D3026">
        <v>20500</v>
      </c>
    </row>
    <row r="3027" spans="1:4" x14ac:dyDescent="0.25">
      <c r="A3027" t="str">
        <f>T("   847990")</f>
        <v xml:space="preserve">   847990</v>
      </c>
      <c r="B3027" t="str">
        <f>T("   Parties de machines et appareils, y.c. les appareils mécaniques, n.d.a.")</f>
        <v xml:space="preserve">   Parties de machines et appareils, y.c. les appareils mécaniques, n.d.a.</v>
      </c>
      <c r="C3027">
        <v>712530</v>
      </c>
      <c r="D3027">
        <v>37</v>
      </c>
    </row>
    <row r="3028" spans="1:4" x14ac:dyDescent="0.25">
      <c r="A3028" t="str">
        <f>T("   848110")</f>
        <v xml:space="preserve">   848110</v>
      </c>
      <c r="B3028" t="str">
        <f>T("   Détendeurs")</f>
        <v xml:space="preserve">   Détendeurs</v>
      </c>
      <c r="C3028">
        <v>2866545</v>
      </c>
      <c r="D3028">
        <v>10</v>
      </c>
    </row>
    <row r="3029" spans="1:4" x14ac:dyDescent="0.25">
      <c r="A3029" t="str">
        <f>T("   848120")</f>
        <v xml:space="preserve">   848120</v>
      </c>
      <c r="B3029" t="str">
        <f>T("   Valves pour transmissions oléohydrauliques ou pneumatiques")</f>
        <v xml:space="preserve">   Valves pour transmissions oléohydrauliques ou pneumatiques</v>
      </c>
      <c r="C3029">
        <v>10463218</v>
      </c>
      <c r="D3029">
        <v>35</v>
      </c>
    </row>
    <row r="3030" spans="1:4" x14ac:dyDescent="0.25">
      <c r="A3030" t="str">
        <f>T("   848130")</f>
        <v xml:space="preserve">   848130</v>
      </c>
      <c r="B3030" t="str">
        <f>T("   Clapets et soupapes de retenue, pour tuyauteries, chaudières, réservoirs, cuves ou contenants simil.")</f>
        <v xml:space="preserve">   Clapets et soupapes de retenue, pour tuyauteries, chaudières, réservoirs, cuves ou contenants simil.</v>
      </c>
      <c r="C3030">
        <v>16959845</v>
      </c>
      <c r="D3030">
        <v>48</v>
      </c>
    </row>
    <row r="3031" spans="1:4" x14ac:dyDescent="0.25">
      <c r="A3031" t="str">
        <f>T("   848180")</f>
        <v xml:space="preserve">   848180</v>
      </c>
      <c r="B3031"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031">
        <v>17463834</v>
      </c>
      <c r="D3031">
        <v>124.28</v>
      </c>
    </row>
    <row r="3032" spans="1:4" x14ac:dyDescent="0.25">
      <c r="A3032" t="str">
        <f>T("   848210")</f>
        <v xml:space="preserve">   848210</v>
      </c>
      <c r="B3032" t="str">
        <f>T("   Roulements à billes")</f>
        <v xml:space="preserve">   Roulements à billes</v>
      </c>
      <c r="C3032">
        <v>80683</v>
      </c>
      <c r="D3032">
        <v>1</v>
      </c>
    </row>
    <row r="3033" spans="1:4" x14ac:dyDescent="0.25">
      <c r="A3033" t="str">
        <f>T("   848280")</f>
        <v xml:space="preserve">   848280</v>
      </c>
      <c r="B3033" t="s">
        <v>442</v>
      </c>
      <c r="C3033">
        <v>52074696</v>
      </c>
      <c r="D3033">
        <v>2348</v>
      </c>
    </row>
    <row r="3034" spans="1:4" x14ac:dyDescent="0.25">
      <c r="A3034" t="str">
        <f>T("   848310")</f>
        <v xml:space="preserve">   848310</v>
      </c>
      <c r="B3034" t="str">
        <f>T("   Arbres de transmission pour machines, y.c. -les arbres à cames et les vilebrequins- et manivelles")</f>
        <v xml:space="preserve">   Arbres de transmission pour machines, y.c. -les arbres à cames et les vilebrequins- et manivelles</v>
      </c>
      <c r="C3034">
        <v>4268333</v>
      </c>
      <c r="D3034">
        <v>258</v>
      </c>
    </row>
    <row r="3035" spans="1:4" x14ac:dyDescent="0.25">
      <c r="A3035" t="str">
        <f>T("   848330")</f>
        <v xml:space="preserve">   848330</v>
      </c>
      <c r="B3035" t="str">
        <f>T("   Paliers pour machines, sans roulements incorporés; coussinets et coquilles de coussinets pour machines")</f>
        <v xml:space="preserve">   Paliers pour machines, sans roulements incorporés; coussinets et coquilles de coussinets pour machines</v>
      </c>
      <c r="C3035">
        <v>318797</v>
      </c>
      <c r="D3035">
        <v>2</v>
      </c>
    </row>
    <row r="3036" spans="1:4" x14ac:dyDescent="0.25">
      <c r="A3036" t="str">
        <f>T("   848340")</f>
        <v xml:space="preserve">   848340</v>
      </c>
      <c r="B3036" t="s">
        <v>443</v>
      </c>
      <c r="C3036">
        <v>4101922</v>
      </c>
      <c r="D3036">
        <v>234</v>
      </c>
    </row>
    <row r="3037" spans="1:4" x14ac:dyDescent="0.25">
      <c r="A3037" t="str">
        <f>T("   848350")</f>
        <v xml:space="preserve">   848350</v>
      </c>
      <c r="B3037" t="str">
        <f>T("   Volants et poulies, y.c. les poulies à moufles")</f>
        <v xml:space="preserve">   Volants et poulies, y.c. les poulies à moufles</v>
      </c>
      <c r="C3037">
        <v>8457293</v>
      </c>
      <c r="D3037">
        <v>403</v>
      </c>
    </row>
    <row r="3038" spans="1:4" x14ac:dyDescent="0.25">
      <c r="A3038" t="str">
        <f>T("   848360")</f>
        <v xml:space="preserve">   848360</v>
      </c>
      <c r="B3038" t="str">
        <f>T("   Embrayages et organes d'accouplement, y.c. les joints d'articulation, pour machines")</f>
        <v xml:space="preserve">   Embrayages et organes d'accouplement, y.c. les joints d'articulation, pour machines</v>
      </c>
      <c r="C3038">
        <v>575933</v>
      </c>
      <c r="D3038">
        <v>2</v>
      </c>
    </row>
    <row r="3039" spans="1:4" x14ac:dyDescent="0.25">
      <c r="A3039" t="str">
        <f>T("   848390")</f>
        <v xml:space="preserve">   848390</v>
      </c>
      <c r="B3039"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3039">
        <v>2992490</v>
      </c>
      <c r="D3039">
        <v>1</v>
      </c>
    </row>
    <row r="3040" spans="1:4" x14ac:dyDescent="0.25">
      <c r="A3040" t="str">
        <f>T("   848420")</f>
        <v xml:space="preserve">   848420</v>
      </c>
      <c r="B3040" t="str">
        <f>T("   Joints d'étanchéité mécaniques")</f>
        <v xml:space="preserve">   Joints d'étanchéité mécaniques</v>
      </c>
      <c r="C3040">
        <v>386360</v>
      </c>
      <c r="D3040">
        <v>4</v>
      </c>
    </row>
    <row r="3041" spans="1:4" x14ac:dyDescent="0.25">
      <c r="A3041" t="str">
        <f>T("   848490")</f>
        <v xml:space="preserve">   848490</v>
      </c>
      <c r="B3041" t="str">
        <f>T("   Jeux ou assortiments de joints de composition différente présentés en pochettes, enveloppes ou emballages analogues")</f>
        <v xml:space="preserve">   Jeux ou assortiments de joints de composition différente présentés en pochettes, enveloppes ou emballages analogues</v>
      </c>
      <c r="C3041">
        <v>10956086</v>
      </c>
      <c r="D3041">
        <v>18.75</v>
      </c>
    </row>
    <row r="3042" spans="1:4" x14ac:dyDescent="0.25">
      <c r="A3042" t="str">
        <f>T("   850140")</f>
        <v xml:space="preserve">   850140</v>
      </c>
      <c r="B3042" t="str">
        <f>T("   Moteurs à courant alternatif, monophasés")</f>
        <v xml:space="preserve">   Moteurs à courant alternatif, monophasés</v>
      </c>
      <c r="C3042">
        <v>427030</v>
      </c>
      <c r="D3042">
        <v>16</v>
      </c>
    </row>
    <row r="3043" spans="1:4" x14ac:dyDescent="0.25">
      <c r="A3043" t="str">
        <f>T("   850220")</f>
        <v xml:space="preserve">   850220</v>
      </c>
      <c r="B3043" t="s">
        <v>446</v>
      </c>
      <c r="C3043">
        <v>597022</v>
      </c>
      <c r="D3043">
        <v>1775</v>
      </c>
    </row>
    <row r="3044" spans="1:4" x14ac:dyDescent="0.25">
      <c r="A3044" t="str">
        <f>T("   850239")</f>
        <v xml:space="preserve">   850239</v>
      </c>
      <c r="B3044" t="str">
        <f>T("   Groupes électrogènes (autres qu'à énergie éolienne et à moteurs à piston)")</f>
        <v xml:space="preserve">   Groupes électrogènes (autres qu'à énergie éolienne et à moteurs à piston)</v>
      </c>
      <c r="C3044">
        <v>1199751</v>
      </c>
      <c r="D3044">
        <v>1200</v>
      </c>
    </row>
    <row r="3045" spans="1:4" x14ac:dyDescent="0.25">
      <c r="A3045" t="str">
        <f>T("   850433")</f>
        <v xml:space="preserve">   850433</v>
      </c>
      <c r="B3045" t="str">
        <f>T("   Transformateurs à sec, puissance &gt; 16 kVA mais &lt;= 500 kVA")</f>
        <v xml:space="preserve">   Transformateurs à sec, puissance &gt; 16 kVA mais &lt;= 500 kVA</v>
      </c>
      <c r="C3045">
        <v>17533155</v>
      </c>
      <c r="D3045">
        <v>1031</v>
      </c>
    </row>
    <row r="3046" spans="1:4" x14ac:dyDescent="0.25">
      <c r="A3046" t="str">
        <f>T("   850440")</f>
        <v xml:space="preserve">   850440</v>
      </c>
      <c r="B3046" t="str">
        <f>T("   CONVERTISSEURS STATIQUES")</f>
        <v xml:space="preserve">   CONVERTISSEURS STATIQUES</v>
      </c>
      <c r="C3046">
        <v>229848</v>
      </c>
      <c r="D3046">
        <v>240</v>
      </c>
    </row>
    <row r="3047" spans="1:4" x14ac:dyDescent="0.25">
      <c r="A3047" t="str">
        <f>T("   850590")</f>
        <v xml:space="preserve">   850590</v>
      </c>
      <c r="B3047" t="str">
        <f>T("   ÉLECTRO-AIMANTS (AUTRES QU'À USAGES MÉDICAUX), TÊTES DE LEVAGE ÉLECTROMAGNÉTIQUES AINSI QUE PLATEAUX, MANDRINS ET DISPOSITIFS MAGNÉTIQUES OU ÉLECTROMAGNÉTIQUES SIMIL. DE FIXATION ET LEURS PARTIES N.D.A.")</f>
        <v xml:space="preserve">   ÉLECTRO-AIMANTS (AUTRES QU'À USAGES MÉDICAUX), TÊTES DE LEVAGE ÉLECTROMAGNÉTIQUES AINSI QUE PLATEAUX, MANDRINS ET DISPOSITIFS MAGNÉTIQUES OU ÉLECTROMAGNÉTIQUES SIMIL. DE FIXATION ET LEURS PARTIES N.D.A.</v>
      </c>
      <c r="C3047">
        <v>64940</v>
      </c>
      <c r="D3047">
        <v>1</v>
      </c>
    </row>
    <row r="3048" spans="1:4" x14ac:dyDescent="0.25">
      <c r="A3048" t="str">
        <f>T("   850780")</f>
        <v xml:space="preserve">   850780</v>
      </c>
      <c r="B3048" t="str">
        <f>T("   Accumulateurs électriques (sauf hors d'usage et autres qu'au plomb, au nickel-cadmium ou au nickel-fer)")</f>
        <v xml:space="preserve">   Accumulateurs électriques (sauf hors d'usage et autres qu'au plomb, au nickel-cadmium ou au nickel-fer)</v>
      </c>
      <c r="C3048">
        <v>59618657</v>
      </c>
      <c r="D3048">
        <v>2605</v>
      </c>
    </row>
    <row r="3049" spans="1:4" x14ac:dyDescent="0.25">
      <c r="A3049" t="str">
        <f>T("   850910")</f>
        <v xml:space="preserve">   850910</v>
      </c>
      <c r="B3049"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3049">
        <v>15000</v>
      </c>
      <c r="D3049">
        <v>35</v>
      </c>
    </row>
    <row r="3050" spans="1:4" x14ac:dyDescent="0.25">
      <c r="A3050" t="str">
        <f>T("   850980")</f>
        <v xml:space="preserve">   850980</v>
      </c>
      <c r="B3050" t="s">
        <v>447</v>
      </c>
      <c r="C3050">
        <v>80000</v>
      </c>
      <c r="D3050">
        <v>800</v>
      </c>
    </row>
    <row r="3051" spans="1:4" x14ac:dyDescent="0.25">
      <c r="A3051" t="str">
        <f>T("   851180")</f>
        <v xml:space="preserve">   851180</v>
      </c>
      <c r="B3051" t="s">
        <v>448</v>
      </c>
      <c r="C3051">
        <v>186948</v>
      </c>
      <c r="D3051">
        <v>1</v>
      </c>
    </row>
    <row r="3052" spans="1:4" x14ac:dyDescent="0.25">
      <c r="A3052" t="str">
        <f>T("   851220")</f>
        <v xml:space="preserve">   851220</v>
      </c>
      <c r="B3052" t="str">
        <f>T("   Appareils électriques d'éclairage ou de signalisation visuelle, pour automobiles (à l'excl. des lampes du n° 8539)")</f>
        <v xml:space="preserve">   Appareils électriques d'éclairage ou de signalisation visuelle, pour automobiles (à l'excl. des lampes du n° 8539)</v>
      </c>
      <c r="C3052">
        <v>1881293</v>
      </c>
      <c r="D3052">
        <v>1</v>
      </c>
    </row>
    <row r="3053" spans="1:4" x14ac:dyDescent="0.25">
      <c r="A3053" t="str">
        <f>T("   851310")</f>
        <v xml:space="preserve">   851310</v>
      </c>
      <c r="B3053" t="str">
        <f>T("   Lampes électriques portatives, destinées à fonctionner au moyen de leur propre source d'énergie")</f>
        <v xml:space="preserve">   Lampes électriques portatives, destinées à fonctionner au moyen de leur propre source d'énergie</v>
      </c>
      <c r="C3053">
        <v>150000</v>
      </c>
      <c r="D3053">
        <v>20</v>
      </c>
    </row>
    <row r="3054" spans="1:4" x14ac:dyDescent="0.25">
      <c r="A3054" t="str">
        <f>T("   851490")</f>
        <v xml:space="preserve">   851490</v>
      </c>
      <c r="B3054" t="s">
        <v>449</v>
      </c>
      <c r="C3054">
        <v>3463468</v>
      </c>
      <c r="D3054">
        <v>212</v>
      </c>
    </row>
    <row r="3055" spans="1:4" x14ac:dyDescent="0.25">
      <c r="A3055" t="str">
        <f>T("   851529")</f>
        <v xml:space="preserve">   851529</v>
      </c>
      <c r="B3055" t="str">
        <f>T("   MACHINES ET APPAREILS POUR LE SOUDAGE DES MÉTAUX PAR RÉSISTANCE, NON-AUTOMATIQUES")</f>
        <v xml:space="preserve">   MACHINES ET APPAREILS POUR LE SOUDAGE DES MÉTAUX PAR RÉSISTANCE, NON-AUTOMATIQUES</v>
      </c>
      <c r="C3055">
        <v>212593</v>
      </c>
      <c r="D3055">
        <v>200</v>
      </c>
    </row>
    <row r="3056" spans="1:4" x14ac:dyDescent="0.25">
      <c r="A3056" t="str">
        <f>T("   851539")</f>
        <v xml:space="preserve">   851539</v>
      </c>
      <c r="B3056" t="str">
        <f>T("   MACHINES ET APPAREILS POUR LE SOUDAGE DES MÉTAUX À L'ARC OU AU JET DE PLASMA, NON-AUTOMATIQUES")</f>
        <v xml:space="preserve">   MACHINES ET APPAREILS POUR LE SOUDAGE DES MÉTAUX À L'ARC OU AU JET DE PLASMA, NON-AUTOMATIQUES</v>
      </c>
      <c r="C3056">
        <v>20000</v>
      </c>
      <c r="D3056">
        <v>70</v>
      </c>
    </row>
    <row r="3057" spans="1:4" x14ac:dyDescent="0.25">
      <c r="A3057" t="str">
        <f>T("   851580")</f>
        <v xml:space="preserve">   851580</v>
      </c>
      <c r="B3057" t="s">
        <v>450</v>
      </c>
      <c r="C3057">
        <v>520113</v>
      </c>
      <c r="D3057">
        <v>2300</v>
      </c>
    </row>
    <row r="3058" spans="1:4" x14ac:dyDescent="0.25">
      <c r="A3058" t="str">
        <f>T("   851660")</f>
        <v xml:space="preserve">   851660</v>
      </c>
      <c r="B3058"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3058">
        <v>50509</v>
      </c>
      <c r="D3058">
        <v>200</v>
      </c>
    </row>
    <row r="3059" spans="1:4" x14ac:dyDescent="0.25">
      <c r="A3059" t="str">
        <f>T("   851719")</f>
        <v xml:space="preserve">   851719</v>
      </c>
      <c r="B3059"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3059">
        <v>817984</v>
      </c>
      <c r="D3059">
        <v>334</v>
      </c>
    </row>
    <row r="3060" spans="1:4" x14ac:dyDescent="0.25">
      <c r="A3060" t="str">
        <f>T("   851750")</f>
        <v xml:space="preserve">   851750</v>
      </c>
      <c r="B3060" t="s">
        <v>452</v>
      </c>
      <c r="C3060">
        <v>70626</v>
      </c>
      <c r="D3060">
        <v>93</v>
      </c>
    </row>
    <row r="3061" spans="1:4" x14ac:dyDescent="0.25">
      <c r="A3061" t="str">
        <f>T("   851780")</f>
        <v xml:space="preserve">   851780</v>
      </c>
      <c r="B3061" t="s">
        <v>453</v>
      </c>
      <c r="C3061">
        <v>142680405</v>
      </c>
      <c r="D3061">
        <v>94</v>
      </c>
    </row>
    <row r="3062" spans="1:4" x14ac:dyDescent="0.25">
      <c r="A3062" t="str">
        <f>T("   851790")</f>
        <v xml:space="preserve">   851790</v>
      </c>
      <c r="B3062" t="s">
        <v>454</v>
      </c>
      <c r="C3062">
        <v>1071740</v>
      </c>
      <c r="D3062">
        <v>2</v>
      </c>
    </row>
    <row r="3063" spans="1:4" x14ac:dyDescent="0.25">
      <c r="A3063" t="str">
        <f>T("   851810")</f>
        <v xml:space="preserve">   851810</v>
      </c>
      <c r="B3063" t="str">
        <f>T("   Microphones et leurs supports (autres que sans fil, avec émetteur incorporé)")</f>
        <v xml:space="preserve">   Microphones et leurs supports (autres que sans fil, avec émetteur incorporé)</v>
      </c>
      <c r="C3063">
        <v>3668784</v>
      </c>
      <c r="D3063">
        <v>40</v>
      </c>
    </row>
    <row r="3064" spans="1:4" x14ac:dyDescent="0.25">
      <c r="A3064" t="str">
        <f>T("   851829")</f>
        <v xml:space="preserve">   851829</v>
      </c>
      <c r="B3064" t="str">
        <f>T("   Haut-parleurs sans enceinte")</f>
        <v xml:space="preserve">   Haut-parleurs sans enceinte</v>
      </c>
      <c r="C3064">
        <v>52477</v>
      </c>
      <c r="D3064">
        <v>1000</v>
      </c>
    </row>
    <row r="3065" spans="1:4" x14ac:dyDescent="0.25">
      <c r="A3065" t="str">
        <f>T("   851999")</f>
        <v xml:space="preserve">   851999</v>
      </c>
      <c r="B3065"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3065">
        <v>428998</v>
      </c>
      <c r="D3065">
        <v>500</v>
      </c>
    </row>
    <row r="3066" spans="1:4" x14ac:dyDescent="0.25">
      <c r="A3066" t="str">
        <f>T("   852713")</f>
        <v xml:space="preserve">   852713</v>
      </c>
      <c r="B3066"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3066">
        <v>100000</v>
      </c>
      <c r="D3066">
        <v>105</v>
      </c>
    </row>
    <row r="3067" spans="1:4" x14ac:dyDescent="0.25">
      <c r="A3067" t="str">
        <f>T("   852739")</f>
        <v xml:space="preserve">   852739</v>
      </c>
      <c r="B3067" t="s">
        <v>463</v>
      </c>
      <c r="C3067">
        <v>393576</v>
      </c>
      <c r="D3067">
        <v>450</v>
      </c>
    </row>
    <row r="3068" spans="1:4" x14ac:dyDescent="0.25">
      <c r="A3068" t="str">
        <f>T("   852790")</f>
        <v xml:space="preserve">   852790</v>
      </c>
      <c r="B3068" t="str">
        <f>T("   Récepteurs pour la radiotéléphonie, la radiotélégraphie ou la radiodiffusion commerciale")</f>
        <v xml:space="preserve">   Récepteurs pour la radiotéléphonie, la radiotélégraphie ou la radiodiffusion commerciale</v>
      </c>
      <c r="C3068">
        <v>112169</v>
      </c>
      <c r="D3068">
        <v>65</v>
      </c>
    </row>
    <row r="3069" spans="1:4" x14ac:dyDescent="0.25">
      <c r="A3069" t="str">
        <f>T("   852812")</f>
        <v xml:space="preserve">   852812</v>
      </c>
      <c r="B306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3069">
        <v>4471504</v>
      </c>
      <c r="D3069">
        <v>4928</v>
      </c>
    </row>
    <row r="3070" spans="1:4" x14ac:dyDescent="0.25">
      <c r="A3070" t="str">
        <f>T("   852910")</f>
        <v xml:space="preserve">   852910</v>
      </c>
      <c r="B3070"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3070">
        <v>6030880</v>
      </c>
      <c r="D3070">
        <v>901</v>
      </c>
    </row>
    <row r="3071" spans="1:4" x14ac:dyDescent="0.25">
      <c r="A3071" t="str">
        <f>T("   853210")</f>
        <v xml:space="preserve">   853210</v>
      </c>
      <c r="B3071" t="str">
        <f>T("   Condensateurs électriques fixes conçus pour les réseaux électriques de 50/60 Hz et capables d'absorber une puissance réactive &gt;= 0,5 kvar [condensateurs de puissance]")</f>
        <v xml:space="preserve">   Condensateurs électriques fixes conçus pour les réseaux électriques de 50/60 Hz et capables d'absorber une puissance réactive &gt;= 0,5 kvar [condensateurs de puissance]</v>
      </c>
      <c r="C3071">
        <v>7163995</v>
      </c>
      <c r="D3071">
        <v>162</v>
      </c>
    </row>
    <row r="3072" spans="1:4" x14ac:dyDescent="0.25">
      <c r="A3072" t="str">
        <f>T("   853340")</f>
        <v xml:space="preserve">   853340</v>
      </c>
      <c r="B3072" t="str">
        <f>T("   RÉSISTANCES ÉLECTRIQUES VARIABLES 'Y.C. LES RHÉOSTATS ET LES POTENTIOMÈTRES' (AUTRES QUE RÉSISTANCES VARIABLES BOBINÉES ET RÉSISTANCES CHAUFFANTES)")</f>
        <v xml:space="preserve">   RÉSISTANCES ÉLECTRIQUES VARIABLES 'Y.C. LES RHÉOSTATS ET LES POTENTIOMÈTRES' (AUTRES QUE RÉSISTANCES VARIABLES BOBINÉES ET RÉSISTANCES CHAUFFANTES)</v>
      </c>
      <c r="C3072">
        <v>343968</v>
      </c>
      <c r="D3072">
        <v>1</v>
      </c>
    </row>
    <row r="3073" spans="1:4" x14ac:dyDescent="0.25">
      <c r="A3073" t="str">
        <f>T("   853540")</f>
        <v xml:space="preserve">   853540</v>
      </c>
      <c r="B3073" t="str">
        <f>T("   Parafoudres, limiteurs de tension et étaleurs d'ondes, pour une tension &gt; 1.000 V")</f>
        <v xml:space="preserve">   Parafoudres, limiteurs de tension et étaleurs d'ondes, pour une tension &gt; 1.000 V</v>
      </c>
      <c r="C3073">
        <v>10909271</v>
      </c>
      <c r="D3073">
        <v>1031</v>
      </c>
    </row>
    <row r="3074" spans="1:4" x14ac:dyDescent="0.25">
      <c r="A3074" t="str">
        <f>T("   853620")</f>
        <v xml:space="preserve">   853620</v>
      </c>
      <c r="B3074" t="str">
        <f>T("   Disjoncteurs, pour une tension &lt;= 1.000 V")</f>
        <v xml:space="preserve">   Disjoncteurs, pour une tension &lt;= 1.000 V</v>
      </c>
      <c r="C3074">
        <v>22592575</v>
      </c>
      <c r="D3074">
        <v>1379</v>
      </c>
    </row>
    <row r="3075" spans="1:4" x14ac:dyDescent="0.25">
      <c r="A3075" t="str">
        <f>T("   853630")</f>
        <v xml:space="preserve">   853630</v>
      </c>
      <c r="B3075"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3075">
        <v>5636008</v>
      </c>
      <c r="D3075">
        <v>33</v>
      </c>
    </row>
    <row r="3076" spans="1:4" x14ac:dyDescent="0.25">
      <c r="A3076" t="str">
        <f>T("   853641")</f>
        <v xml:space="preserve">   853641</v>
      </c>
      <c r="B3076" t="str">
        <f>T("   Relais pour une tension &lt;= 60 V")</f>
        <v xml:space="preserve">   Relais pour une tension &lt;= 60 V</v>
      </c>
      <c r="C3076">
        <v>2394910</v>
      </c>
      <c r="D3076">
        <v>1</v>
      </c>
    </row>
    <row r="3077" spans="1:4" x14ac:dyDescent="0.25">
      <c r="A3077" t="str">
        <f>T("   853649")</f>
        <v xml:space="preserve">   853649</v>
      </c>
      <c r="B3077" t="str">
        <f>T("   Relais, pour une tension &gt; 60 V mais &lt;= 1.000 V")</f>
        <v xml:space="preserve">   Relais, pour une tension &gt; 60 V mais &lt;= 1.000 V</v>
      </c>
      <c r="C3077">
        <v>320515</v>
      </c>
      <c r="D3077">
        <v>21</v>
      </c>
    </row>
    <row r="3078" spans="1:4" x14ac:dyDescent="0.25">
      <c r="A3078" t="str">
        <f>T("   853650")</f>
        <v xml:space="preserve">   853650</v>
      </c>
      <c r="B3078" t="str">
        <f>T("   Interrupteurs, sectionneurs et commutateurs, pour une tension &lt;= 1.000 V (autres que relais et disjoncteurs)")</f>
        <v xml:space="preserve">   Interrupteurs, sectionneurs et commutateurs, pour une tension &lt;= 1.000 V (autres que relais et disjoncteurs)</v>
      </c>
      <c r="C3078">
        <v>25565081</v>
      </c>
      <c r="D3078">
        <v>46</v>
      </c>
    </row>
    <row r="3079" spans="1:4" x14ac:dyDescent="0.25">
      <c r="A3079" t="str">
        <f>T("   853669")</f>
        <v xml:space="preserve">   853669</v>
      </c>
      <c r="B3079" t="str">
        <f>T("   Fiches et prises de courant, pour une tension &lt;= 1.000 V (sauf douilles pour lampes)")</f>
        <v xml:space="preserve">   Fiches et prises de courant, pour une tension &lt;= 1.000 V (sauf douilles pour lampes)</v>
      </c>
      <c r="C3079">
        <v>2554862</v>
      </c>
      <c r="D3079">
        <v>860</v>
      </c>
    </row>
    <row r="3080" spans="1:4" x14ac:dyDescent="0.25">
      <c r="A3080" t="str">
        <f>T("   853690")</f>
        <v xml:space="preserve">   853690</v>
      </c>
      <c r="B3080" t="s">
        <v>467</v>
      </c>
      <c r="C3080">
        <v>180389</v>
      </c>
      <c r="D3080">
        <v>3</v>
      </c>
    </row>
    <row r="3081" spans="1:4" x14ac:dyDescent="0.25">
      <c r="A3081" t="str">
        <f>T("   853710")</f>
        <v xml:space="preserve">   853710</v>
      </c>
      <c r="B3081"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3081">
        <v>19325237</v>
      </c>
      <c r="D3081">
        <v>2624</v>
      </c>
    </row>
    <row r="3082" spans="1:4" x14ac:dyDescent="0.25">
      <c r="A3082" t="str">
        <f>T("   853810")</f>
        <v xml:space="preserve">   853810</v>
      </c>
      <c r="B3082" t="str">
        <f>T("   Tableaux, panneaux, consoles, pupitres, armoires et autres supports pour articles du n° 8537, dépourvus de leurs appareils")</f>
        <v xml:space="preserve">   Tableaux, panneaux, consoles, pupitres, armoires et autres supports pour articles du n° 8537, dépourvus de leurs appareils</v>
      </c>
      <c r="C3082">
        <v>2748076</v>
      </c>
      <c r="D3082">
        <v>19</v>
      </c>
    </row>
    <row r="3083" spans="1:4" x14ac:dyDescent="0.25">
      <c r="A3083" t="str">
        <f>T("   853890")</f>
        <v xml:space="preserve">   853890</v>
      </c>
      <c r="B3083" t="s">
        <v>468</v>
      </c>
      <c r="C3083">
        <v>1805202</v>
      </c>
      <c r="D3083">
        <v>4</v>
      </c>
    </row>
    <row r="3084" spans="1:4" x14ac:dyDescent="0.25">
      <c r="A3084" t="str">
        <f>T("   853949")</f>
        <v xml:space="preserve">   853949</v>
      </c>
      <c r="B3084" t="str">
        <f>T("   Lampes et tubes à rayons ultraviolets ou infrarouges")</f>
        <v xml:space="preserve">   Lampes et tubes à rayons ultraviolets ou infrarouges</v>
      </c>
      <c r="C3084">
        <v>1661547</v>
      </c>
      <c r="D3084">
        <v>26</v>
      </c>
    </row>
    <row r="3085" spans="1:4" x14ac:dyDescent="0.25">
      <c r="A3085" t="str">
        <f>T("   854110")</f>
        <v xml:space="preserve">   854110</v>
      </c>
      <c r="B3085" t="str">
        <f>T("   Diodes (sauf photodiodes et diodes émettrices de lumière)")</f>
        <v xml:space="preserve">   Diodes (sauf photodiodes et diodes émettrices de lumière)</v>
      </c>
      <c r="C3085">
        <v>673015</v>
      </c>
      <c r="D3085">
        <v>3</v>
      </c>
    </row>
    <row r="3086" spans="1:4" x14ac:dyDescent="0.25">
      <c r="A3086" t="str">
        <f>T("   854140")</f>
        <v xml:space="preserve">   854140</v>
      </c>
      <c r="B3086"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3086">
        <v>2214789</v>
      </c>
      <c r="D3086">
        <v>243.5</v>
      </c>
    </row>
    <row r="3087" spans="1:4" x14ac:dyDescent="0.25">
      <c r="A3087" t="str">
        <f>T("   854420")</f>
        <v xml:space="preserve">   854420</v>
      </c>
      <c r="B3087" t="str">
        <f>T("   Câbles coaxiaux et autres conducteurs électriques coaxiaux, isolés")</f>
        <v xml:space="preserve">   Câbles coaxiaux et autres conducteurs électriques coaxiaux, isolés</v>
      </c>
      <c r="C3087">
        <v>486066</v>
      </c>
      <c r="D3087">
        <v>5</v>
      </c>
    </row>
    <row r="3088" spans="1:4" x14ac:dyDescent="0.25">
      <c r="A3088" t="str">
        <f>T("   854449")</f>
        <v xml:space="preserve">   854449</v>
      </c>
      <c r="B3088" t="str">
        <f>T("   CONDUCTEURS ÉLECTRIQUES, POUR TENSION &lt;= 1.000 V, ISOLÉS, SANS PIÈCES DE CONNEXION, N.D.A.")</f>
        <v xml:space="preserve">   CONDUCTEURS ÉLECTRIQUES, POUR TENSION &lt;= 1.000 V, ISOLÉS, SANS PIÈCES DE CONNEXION, N.D.A.</v>
      </c>
      <c r="C3088">
        <v>3170912</v>
      </c>
      <c r="D3088">
        <v>386</v>
      </c>
    </row>
    <row r="3089" spans="1:4" x14ac:dyDescent="0.25">
      <c r="A3089" t="str">
        <f>T("   860900")</f>
        <v xml:space="preserve">   860900</v>
      </c>
      <c r="B3089"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3089">
        <v>7474187</v>
      </c>
      <c r="D3089">
        <v>1924</v>
      </c>
    </row>
    <row r="3090" spans="1:4" x14ac:dyDescent="0.25">
      <c r="A3090" t="str">
        <f>T("   870120")</f>
        <v xml:space="preserve">   870120</v>
      </c>
      <c r="B3090" t="str">
        <f>T("   Tracteurs routiers pour semi-remorques")</f>
        <v xml:space="preserve">   Tracteurs routiers pour semi-remorques</v>
      </c>
      <c r="C3090">
        <v>85796615</v>
      </c>
      <c r="D3090">
        <v>286405</v>
      </c>
    </row>
    <row r="3091" spans="1:4" x14ac:dyDescent="0.25">
      <c r="A3091" t="str">
        <f>T("   870190")</f>
        <v xml:space="preserve">   870190</v>
      </c>
      <c r="B3091"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3091">
        <v>2944958</v>
      </c>
      <c r="D3091">
        <v>15690</v>
      </c>
    </row>
    <row r="3092" spans="1:4" x14ac:dyDescent="0.25">
      <c r="A3092" t="str">
        <f>T("   870210")</f>
        <v xml:space="preserve">   870210</v>
      </c>
      <c r="B3092" t="s">
        <v>469</v>
      </c>
      <c r="C3092">
        <v>23600000</v>
      </c>
      <c r="D3092">
        <v>34079</v>
      </c>
    </row>
    <row r="3093" spans="1:4" x14ac:dyDescent="0.25">
      <c r="A3093" t="str">
        <f>T("   870290")</f>
        <v xml:space="preserve">   870290</v>
      </c>
      <c r="B3093" t="s">
        <v>470</v>
      </c>
      <c r="C3093">
        <v>75683570</v>
      </c>
      <c r="D3093">
        <v>79304</v>
      </c>
    </row>
    <row r="3094" spans="1:4" x14ac:dyDescent="0.25">
      <c r="A3094" t="str">
        <f>T("   870322")</f>
        <v xml:space="preserve">   870322</v>
      </c>
      <c r="B3094" t="s">
        <v>472</v>
      </c>
      <c r="C3094">
        <v>2229395991</v>
      </c>
      <c r="D3094">
        <v>1926892</v>
      </c>
    </row>
    <row r="3095" spans="1:4" x14ac:dyDescent="0.25">
      <c r="A3095" t="str">
        <f>T("   870323")</f>
        <v xml:space="preserve">   870323</v>
      </c>
      <c r="B3095" t="s">
        <v>473</v>
      </c>
      <c r="C3095">
        <v>198643122</v>
      </c>
      <c r="D3095">
        <v>87881</v>
      </c>
    </row>
    <row r="3096" spans="1:4" x14ac:dyDescent="0.25">
      <c r="A3096" t="str">
        <f>T("   870324")</f>
        <v xml:space="preserve">   870324</v>
      </c>
      <c r="B3096" t="s">
        <v>474</v>
      </c>
      <c r="C3096">
        <v>65107030</v>
      </c>
      <c r="D3096">
        <v>12393</v>
      </c>
    </row>
    <row r="3097" spans="1:4" x14ac:dyDescent="0.25">
      <c r="A3097" t="str">
        <f>T("   870332")</f>
        <v xml:space="preserve">   870332</v>
      </c>
      <c r="B3097" t="s">
        <v>476</v>
      </c>
      <c r="C3097">
        <v>34240967</v>
      </c>
      <c r="D3097">
        <v>5342</v>
      </c>
    </row>
    <row r="3098" spans="1:4" x14ac:dyDescent="0.25">
      <c r="A3098" t="str">
        <f>T("   870333")</f>
        <v xml:space="preserve">   870333</v>
      </c>
      <c r="B3098" t="s">
        <v>477</v>
      </c>
      <c r="C3098">
        <v>91525456</v>
      </c>
      <c r="D3098">
        <v>69156</v>
      </c>
    </row>
    <row r="3099" spans="1:4" x14ac:dyDescent="0.25">
      <c r="A3099" t="str">
        <f>T("   870421")</f>
        <v xml:space="preserve">   870421</v>
      </c>
      <c r="B3099" t="s">
        <v>478</v>
      </c>
      <c r="C3099">
        <v>198552203</v>
      </c>
      <c r="D3099">
        <v>222211</v>
      </c>
    </row>
    <row r="3100" spans="1:4" x14ac:dyDescent="0.25">
      <c r="A3100" t="str">
        <f>T("   870422")</f>
        <v xml:space="preserve">   870422</v>
      </c>
      <c r="B3100" t="s">
        <v>479</v>
      </c>
      <c r="C3100">
        <v>33243926</v>
      </c>
      <c r="D3100">
        <v>115515</v>
      </c>
    </row>
    <row r="3101" spans="1:4" x14ac:dyDescent="0.25">
      <c r="A3101" t="str">
        <f>T("   870423")</f>
        <v xml:space="preserve">   870423</v>
      </c>
      <c r="B3101" t="s">
        <v>480</v>
      </c>
      <c r="C3101">
        <v>2055802</v>
      </c>
      <c r="D3101">
        <v>25700</v>
      </c>
    </row>
    <row r="3102" spans="1:4" x14ac:dyDescent="0.25">
      <c r="A3102" t="str">
        <f>T("   870431")</f>
        <v xml:space="preserve">   870431</v>
      </c>
      <c r="B3102" t="s">
        <v>481</v>
      </c>
      <c r="C3102">
        <v>51600000</v>
      </c>
      <c r="D3102">
        <v>62056</v>
      </c>
    </row>
    <row r="3103" spans="1:4" x14ac:dyDescent="0.25">
      <c r="A3103" t="str">
        <f>T("   870432")</f>
        <v xml:space="preserve">   870432</v>
      </c>
      <c r="B3103" t="s">
        <v>482</v>
      </c>
      <c r="C3103">
        <v>2028251</v>
      </c>
      <c r="D3103">
        <v>7228</v>
      </c>
    </row>
    <row r="3104" spans="1:4" x14ac:dyDescent="0.25">
      <c r="A3104" t="str">
        <f>T("   870490")</f>
        <v xml:space="preserve">   870490</v>
      </c>
      <c r="B3104"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3104">
        <v>2400079</v>
      </c>
      <c r="D3104">
        <v>2603</v>
      </c>
    </row>
    <row r="3105" spans="1:4" x14ac:dyDescent="0.25">
      <c r="A3105" t="str">
        <f>T("   870540")</f>
        <v xml:space="preserve">   870540</v>
      </c>
      <c r="B3105" t="str">
        <f>T("   Camions-bétonnières")</f>
        <v xml:space="preserve">   Camions-bétonnières</v>
      </c>
      <c r="C3105">
        <v>2049242</v>
      </c>
      <c r="D3105">
        <v>14022</v>
      </c>
    </row>
    <row r="3106" spans="1:4" x14ac:dyDescent="0.25">
      <c r="A3106" t="str">
        <f>T("   870829")</f>
        <v xml:space="preserve">   870829</v>
      </c>
      <c r="B3106" t="s">
        <v>485</v>
      </c>
      <c r="C3106">
        <v>805899</v>
      </c>
      <c r="D3106">
        <v>5028</v>
      </c>
    </row>
    <row r="3107" spans="1:4" x14ac:dyDescent="0.25">
      <c r="A3107" t="str">
        <f>T("   870839")</f>
        <v xml:space="preserve">   870839</v>
      </c>
      <c r="B3107"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3107">
        <v>847012</v>
      </c>
      <c r="D3107">
        <v>40</v>
      </c>
    </row>
    <row r="3108" spans="1:4" x14ac:dyDescent="0.25">
      <c r="A3108" t="str">
        <f>T("   870870")</f>
        <v xml:space="preserve">   870870</v>
      </c>
      <c r="B3108"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3108">
        <v>1420176</v>
      </c>
      <c r="D3108">
        <v>494</v>
      </c>
    </row>
    <row r="3109" spans="1:4" x14ac:dyDescent="0.25">
      <c r="A3109" t="str">
        <f>T("   870880")</f>
        <v xml:space="preserve">   870880</v>
      </c>
      <c r="B3109" t="s">
        <v>487</v>
      </c>
      <c r="C3109">
        <v>4066806</v>
      </c>
      <c r="D3109">
        <v>190</v>
      </c>
    </row>
    <row r="3110" spans="1:4" x14ac:dyDescent="0.25">
      <c r="A3110" t="str">
        <f>T("   870891")</f>
        <v xml:space="preserve">   870891</v>
      </c>
      <c r="B3110"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3110">
        <v>204922</v>
      </c>
      <c r="D3110">
        <v>1</v>
      </c>
    </row>
    <row r="3111" spans="1:4" x14ac:dyDescent="0.25">
      <c r="A3111" t="str">
        <f>T("   870894")</f>
        <v xml:space="preserve">   870894</v>
      </c>
      <c r="B3111" t="s">
        <v>488</v>
      </c>
      <c r="C3111">
        <v>3481999</v>
      </c>
      <c r="D3111">
        <v>163</v>
      </c>
    </row>
    <row r="3112" spans="1:4" x14ac:dyDescent="0.25">
      <c r="A3112" t="str">
        <f>T("   870899")</f>
        <v xml:space="preserve">   870899</v>
      </c>
      <c r="B311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3112">
        <v>21313960</v>
      </c>
      <c r="D3112">
        <v>3999</v>
      </c>
    </row>
    <row r="3113" spans="1:4" x14ac:dyDescent="0.25">
      <c r="A3113" t="str">
        <f>T("   871110")</f>
        <v xml:space="preserve">   871110</v>
      </c>
      <c r="B3113" t="str">
        <f>T("   Cyclomoteurs, à moteur à piston alternatif, cylindrée &lt;= 50 cm³, y.c. cycles à moteur auxiliaire")</f>
        <v xml:space="preserve">   Cyclomoteurs, à moteur à piston alternatif, cylindrée &lt;= 50 cm³, y.c. cycles à moteur auxiliaire</v>
      </c>
      <c r="C3113">
        <v>450000</v>
      </c>
      <c r="D3113">
        <v>472</v>
      </c>
    </row>
    <row r="3114" spans="1:4" x14ac:dyDescent="0.25">
      <c r="A3114" t="str">
        <f>T("   871120")</f>
        <v xml:space="preserve">   871120</v>
      </c>
      <c r="B3114" t="str">
        <f>T("   Motocycles à moteur à piston alternatif, cylindrée &gt; 50 cm³ mais &lt;= 250 cm³")</f>
        <v xml:space="preserve">   Motocycles à moteur à piston alternatif, cylindrée &gt; 50 cm³ mais &lt;= 250 cm³</v>
      </c>
      <c r="C3114">
        <v>2484793</v>
      </c>
      <c r="D3114">
        <v>2762</v>
      </c>
    </row>
    <row r="3115" spans="1:4" x14ac:dyDescent="0.25">
      <c r="A3115" t="str">
        <f>T("   871140")</f>
        <v xml:space="preserve">   871140</v>
      </c>
      <c r="B3115" t="str">
        <f>T("   Motocycles à moteur à piston alternatif, cylindrée &gt; 500 cm³ mais &lt;= 800 cm³")</f>
        <v xml:space="preserve">   Motocycles à moteur à piston alternatif, cylindrée &gt; 500 cm³ mais &lt;= 800 cm³</v>
      </c>
      <c r="C3115">
        <v>500006</v>
      </c>
      <c r="D3115">
        <v>58</v>
      </c>
    </row>
    <row r="3116" spans="1:4" x14ac:dyDescent="0.25">
      <c r="A3116" t="str">
        <f>T("   871190")</f>
        <v xml:space="preserve">   871190</v>
      </c>
      <c r="B3116" t="str">
        <f>T("   Side-cars")</f>
        <v xml:space="preserve">   Side-cars</v>
      </c>
      <c r="C3116">
        <v>74124</v>
      </c>
      <c r="D3116">
        <v>20</v>
      </c>
    </row>
    <row r="3117" spans="1:4" x14ac:dyDescent="0.25">
      <c r="A3117" t="str">
        <f>T("   871200")</f>
        <v xml:space="preserve">   871200</v>
      </c>
      <c r="B3117" t="str">
        <f>T("   BICYCLETTES ET AUTRES CYCLES, -Y.C. LES TRIPORTEURS-, SANS MOTEUR")</f>
        <v xml:space="preserve">   BICYCLETTES ET AUTRES CYCLES, -Y.C. LES TRIPORTEURS-, SANS MOTEUR</v>
      </c>
      <c r="C3117">
        <v>451246</v>
      </c>
      <c r="D3117">
        <v>830</v>
      </c>
    </row>
    <row r="3118" spans="1:4" x14ac:dyDescent="0.25">
      <c r="A3118" t="str">
        <f>T("   871491")</f>
        <v xml:space="preserve">   871491</v>
      </c>
      <c r="B3118" t="str">
        <f>T("   Cadres et fourches, et leurs parties, de bicyclettes, n.d.a.")</f>
        <v xml:space="preserve">   Cadres et fourches, et leurs parties, de bicyclettes, n.d.a.</v>
      </c>
      <c r="C3118">
        <v>49852</v>
      </c>
      <c r="D3118">
        <v>11</v>
      </c>
    </row>
    <row r="3119" spans="1:4" x14ac:dyDescent="0.25">
      <c r="A3119" t="str">
        <f>T("   871620")</f>
        <v xml:space="preserve">   871620</v>
      </c>
      <c r="B3119" t="str">
        <f>T("   Remorques et semi-remorques autochargeuses ou autodéchargeuses, pour usages agricoles")</f>
        <v xml:space="preserve">   Remorques et semi-remorques autochargeuses ou autodéchargeuses, pour usages agricoles</v>
      </c>
      <c r="C3119">
        <v>1102036</v>
      </c>
      <c r="D3119">
        <v>5990</v>
      </c>
    </row>
    <row r="3120" spans="1:4" x14ac:dyDescent="0.25">
      <c r="A3120" t="str">
        <f>T("   871631")</f>
        <v xml:space="preserve">   871631</v>
      </c>
      <c r="B3120" t="str">
        <f>T("   Remorques-citernes ne circulant pas sur rails")</f>
        <v xml:space="preserve">   Remorques-citernes ne circulant pas sur rails</v>
      </c>
      <c r="C3120">
        <v>1200000</v>
      </c>
      <c r="D3120">
        <v>8000</v>
      </c>
    </row>
    <row r="3121" spans="1:4" x14ac:dyDescent="0.25">
      <c r="A3121" t="str">
        <f>T("   871639")</f>
        <v xml:space="preserve">   871639</v>
      </c>
      <c r="B3121"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3121">
        <v>4000000</v>
      </c>
      <c r="D3121">
        <v>13400</v>
      </c>
    </row>
    <row r="3122" spans="1:4" x14ac:dyDescent="0.25">
      <c r="A3122" t="str">
        <f>T("   871640")</f>
        <v xml:space="preserve">   871640</v>
      </c>
      <c r="B3122"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3122">
        <v>44902270</v>
      </c>
      <c r="D3122">
        <v>100000</v>
      </c>
    </row>
    <row r="3123" spans="1:4" x14ac:dyDescent="0.25">
      <c r="A3123" t="str">
        <f>T("   900911")</f>
        <v xml:space="preserve">   900911</v>
      </c>
      <c r="B3123"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3123">
        <v>150215</v>
      </c>
      <c r="D3123">
        <v>30</v>
      </c>
    </row>
    <row r="3124" spans="1:4" x14ac:dyDescent="0.25">
      <c r="A3124" t="str">
        <f>T("   900921")</f>
        <v xml:space="preserve">   900921</v>
      </c>
      <c r="B3124" t="str">
        <f>T("   Appareils de photocopie à système optique (autres qu'électrostatiques)")</f>
        <v xml:space="preserve">   Appareils de photocopie à système optique (autres qu'électrostatiques)</v>
      </c>
      <c r="C3124">
        <v>18600000</v>
      </c>
      <c r="D3124">
        <v>2971</v>
      </c>
    </row>
    <row r="3125" spans="1:4" x14ac:dyDescent="0.25">
      <c r="A3125" t="str">
        <f>T("   901010")</f>
        <v xml:space="preserve">   901010</v>
      </c>
      <c r="B3125" t="s">
        <v>491</v>
      </c>
      <c r="C3125">
        <v>4841435</v>
      </c>
      <c r="D3125">
        <v>2105</v>
      </c>
    </row>
    <row r="3126" spans="1:4" x14ac:dyDescent="0.25">
      <c r="A3126" t="str">
        <f>T("   901049")</f>
        <v xml:space="preserve">   901049</v>
      </c>
      <c r="B3126" t="str">
        <f>T("   Appareils pour la projection ou la réalisation des tracés de circuits sur les matières semi-conductrices sensibilisées (à l'excl. des appareils pour l'écriture directe sur disque et des photorépéteurs)")</f>
        <v xml:space="preserve">   Appareils pour la projection ou la réalisation des tracés de circuits sur les matières semi-conductrices sensibilisées (à l'excl. des appareils pour l'écriture directe sur disque et des photorépéteurs)</v>
      </c>
      <c r="C3126">
        <v>13185347</v>
      </c>
      <c r="D3126">
        <v>296</v>
      </c>
    </row>
    <row r="3127" spans="1:4" x14ac:dyDescent="0.25">
      <c r="A3127" t="str">
        <f>T("   901720")</f>
        <v xml:space="preserve">   901720</v>
      </c>
      <c r="B3127" t="str">
        <f>T("   Instruments de dessin, de traçage et de calcul (sauf tables et machines à dessiner ainsi que calculatrices)")</f>
        <v xml:space="preserve">   Instruments de dessin, de traçage et de calcul (sauf tables et machines à dessiner ainsi que calculatrices)</v>
      </c>
      <c r="C3127">
        <v>9183</v>
      </c>
      <c r="D3127">
        <v>1</v>
      </c>
    </row>
    <row r="3128" spans="1:4" x14ac:dyDescent="0.25">
      <c r="A3128" t="str">
        <f>T("   901780")</f>
        <v xml:space="preserve">   901780</v>
      </c>
      <c r="B3128" t="str">
        <f>T("   Instruments de mesure de longueurs, pour emploi à la main, n.d.a.")</f>
        <v xml:space="preserve">   Instruments de mesure de longueurs, pour emploi à la main, n.d.a.</v>
      </c>
      <c r="C3128">
        <v>2042003</v>
      </c>
      <c r="D3128">
        <v>218</v>
      </c>
    </row>
    <row r="3129" spans="1:4" x14ac:dyDescent="0.25">
      <c r="A3129" t="str">
        <f>T("   901819")</f>
        <v xml:space="preserve">   901819</v>
      </c>
      <c r="B3129" t="s">
        <v>494</v>
      </c>
      <c r="C3129">
        <v>1456745</v>
      </c>
      <c r="D3129">
        <v>90</v>
      </c>
    </row>
    <row r="3130" spans="1:4" x14ac:dyDescent="0.25">
      <c r="A3130" t="str">
        <f>T("   901831")</f>
        <v xml:space="preserve">   901831</v>
      </c>
      <c r="B3130" t="str">
        <f>T("   Seringues, avec ou sans aiguilles, pour la médecine")</f>
        <v xml:space="preserve">   Seringues, avec ou sans aiguilles, pour la médecine</v>
      </c>
      <c r="C3130">
        <v>7999182</v>
      </c>
      <c r="D3130">
        <v>1819</v>
      </c>
    </row>
    <row r="3131" spans="1:4" x14ac:dyDescent="0.25">
      <c r="A3131" t="str">
        <f>T("   901839")</f>
        <v xml:space="preserve">   901839</v>
      </c>
      <c r="B3131"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3131">
        <v>103435709</v>
      </c>
      <c r="D3131">
        <v>42200</v>
      </c>
    </row>
    <row r="3132" spans="1:4" x14ac:dyDescent="0.25">
      <c r="A3132" t="str">
        <f>T("   901890")</f>
        <v xml:space="preserve">   901890</v>
      </c>
      <c r="B3132" t="str">
        <f>T("   Instruments et appareils pour la médecine, la chirurgie ou l'art vétérinaire, n.d.a.")</f>
        <v xml:space="preserve">   Instruments et appareils pour la médecine, la chirurgie ou l'art vétérinaire, n.d.a.</v>
      </c>
      <c r="C3132">
        <v>181419439</v>
      </c>
      <c r="D3132">
        <v>6335</v>
      </c>
    </row>
    <row r="3133" spans="1:4" x14ac:dyDescent="0.25">
      <c r="A3133" t="str">
        <f>T("   902139")</f>
        <v xml:space="preserve">   902139</v>
      </c>
      <c r="B3133" t="str">
        <f>T("   Articles et appareils de prothèse (sauf de prothèse dentaire et prothèses articulaires)")</f>
        <v xml:space="preserve">   Articles et appareils de prothèse (sauf de prothèse dentaire et prothèses articulaires)</v>
      </c>
      <c r="C3133">
        <v>344759</v>
      </c>
      <c r="D3133">
        <v>454</v>
      </c>
    </row>
    <row r="3134" spans="1:4" x14ac:dyDescent="0.25">
      <c r="A3134" t="str">
        <f>T("   902214")</f>
        <v xml:space="preserve">   902214</v>
      </c>
      <c r="B3134"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3134">
        <v>8000088</v>
      </c>
      <c r="D3134">
        <v>16273</v>
      </c>
    </row>
    <row r="3135" spans="1:4" x14ac:dyDescent="0.25">
      <c r="A3135" t="str">
        <f>T("   902480")</f>
        <v xml:space="preserve">   902480</v>
      </c>
      <c r="B3135" t="str">
        <f>T("   Machines et appareils d'essais des propriétés mécaniques des matériaux (autres que les métaux)")</f>
        <v xml:space="preserve">   Machines et appareils d'essais des propriétés mécaniques des matériaux (autres que les métaux)</v>
      </c>
      <c r="C3135">
        <v>299774</v>
      </c>
      <c r="D3135">
        <v>1</v>
      </c>
    </row>
    <row r="3136" spans="1:4" x14ac:dyDescent="0.25">
      <c r="A3136" t="str">
        <f>T("   902519")</f>
        <v xml:space="preserve">   902519</v>
      </c>
      <c r="B3136"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3136">
        <v>2683534</v>
      </c>
      <c r="D3136">
        <v>9</v>
      </c>
    </row>
    <row r="3137" spans="1:4" x14ac:dyDescent="0.25">
      <c r="A3137" t="str">
        <f>T("   902580")</f>
        <v xml:space="preserve">   902580</v>
      </c>
      <c r="B3137" t="s">
        <v>498</v>
      </c>
      <c r="C3137">
        <v>826510</v>
      </c>
      <c r="D3137">
        <v>6</v>
      </c>
    </row>
    <row r="3138" spans="1:4" x14ac:dyDescent="0.25">
      <c r="A3138" t="str">
        <f>T("   902610")</f>
        <v xml:space="preserve">   902610</v>
      </c>
      <c r="B3138"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3138">
        <v>21961541</v>
      </c>
      <c r="D3138">
        <v>588</v>
      </c>
    </row>
    <row r="3139" spans="1:4" x14ac:dyDescent="0.25">
      <c r="A3139" t="str">
        <f>T("   902620")</f>
        <v xml:space="preserve">   902620</v>
      </c>
      <c r="B3139"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3139">
        <v>10741297</v>
      </c>
      <c r="D3139">
        <v>42</v>
      </c>
    </row>
    <row r="3140" spans="1:4" x14ac:dyDescent="0.25">
      <c r="A3140" t="str">
        <f>T("   902680")</f>
        <v xml:space="preserve">   902680</v>
      </c>
      <c r="B3140" t="str">
        <f>T("   Instruments et appareils pour la mesure et le contrôle des caractéristiques variables des liquides ou des gaz, n.d.a.")</f>
        <v xml:space="preserve">   Instruments et appareils pour la mesure et le contrôle des caractéristiques variables des liquides ou des gaz, n.d.a.</v>
      </c>
      <c r="C3140">
        <v>2634158</v>
      </c>
      <c r="D3140">
        <v>76</v>
      </c>
    </row>
    <row r="3141" spans="1:4" x14ac:dyDescent="0.25">
      <c r="A3141" t="str">
        <f>T("   902690")</f>
        <v xml:space="preserve">   902690</v>
      </c>
      <c r="B3141"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3141">
        <v>7298867</v>
      </c>
      <c r="D3141">
        <v>17.5</v>
      </c>
    </row>
    <row r="3142" spans="1:4" x14ac:dyDescent="0.25">
      <c r="A3142" t="str">
        <f>T("   902730")</f>
        <v xml:space="preserve">   902730</v>
      </c>
      <c r="B3142" t="str">
        <f>T("   Spectromètres, spectrophotomètres et spectrographes utilisant les rayonnements optiques: UV, visibles, IR")</f>
        <v xml:space="preserve">   Spectromètres, spectrophotomètres et spectrographes utilisant les rayonnements optiques: UV, visibles, IR</v>
      </c>
      <c r="C3142">
        <v>5550733</v>
      </c>
      <c r="D3142">
        <v>17</v>
      </c>
    </row>
    <row r="3143" spans="1:4" x14ac:dyDescent="0.25">
      <c r="A3143" t="str">
        <f>T("   902780")</f>
        <v xml:space="preserve">   902780</v>
      </c>
      <c r="B3143"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3143">
        <v>98218438</v>
      </c>
      <c r="D3143">
        <v>873.5</v>
      </c>
    </row>
    <row r="3144" spans="1:4" x14ac:dyDescent="0.25">
      <c r="A3144" t="str">
        <f>T("   902790")</f>
        <v xml:space="preserve">   902790</v>
      </c>
      <c r="B3144" t="s">
        <v>499</v>
      </c>
      <c r="C3144">
        <v>2254054</v>
      </c>
      <c r="D3144">
        <v>136</v>
      </c>
    </row>
    <row r="3145" spans="1:4" x14ac:dyDescent="0.25">
      <c r="A3145" t="str">
        <f>T("   903040")</f>
        <v xml:space="preserve">   903040</v>
      </c>
      <c r="B3145" t="str">
        <f>T("   Instruments et appareils pour la mesure ou le contrôle de grandeurs électriques, spécialement conçus pour les techniques de la télécommunication, p.ex. hypsomètres, kerdomètres, distorsiomètres, psophomètres")</f>
        <v xml:space="preserve">   Instruments et appareils pour la mesure ou le contrôle de grandeurs électriques, spécialement conçus pour les techniques de la télécommunication, p.ex. hypsomètres, kerdomètres, distorsiomètres, psophomètres</v>
      </c>
      <c r="C3145">
        <v>2224360</v>
      </c>
      <c r="D3145">
        <v>9</v>
      </c>
    </row>
    <row r="3146" spans="1:4" x14ac:dyDescent="0.25">
      <c r="A3146" t="str">
        <f>T("   903083")</f>
        <v xml:space="preserve">   903083</v>
      </c>
      <c r="B3146" t="s">
        <v>500</v>
      </c>
      <c r="C3146">
        <v>9953537</v>
      </c>
      <c r="D3146">
        <v>12</v>
      </c>
    </row>
    <row r="3147" spans="1:4" x14ac:dyDescent="0.25">
      <c r="A3147" t="str">
        <f>T("   903120")</f>
        <v xml:space="preserve">   903120</v>
      </c>
      <c r="B3147" t="str">
        <f>T("   Bancs d'essai pour moteurs, machines génératrices, pompes, etc.")</f>
        <v xml:space="preserve">   Bancs d'essai pour moteurs, machines génératrices, pompes, etc.</v>
      </c>
      <c r="C3147">
        <v>50509</v>
      </c>
      <c r="D3147">
        <v>10</v>
      </c>
    </row>
    <row r="3148" spans="1:4" x14ac:dyDescent="0.25">
      <c r="A3148" t="str">
        <f>T("   903180")</f>
        <v xml:space="preserve">   903180</v>
      </c>
      <c r="B3148" t="str">
        <f>T("   INSTRUMENTS, APPAREILS ET MACHINES DE MESURE OU DE CONTRÔLE, NON-OPTIQUES, N.D.A. DANS LE PRÉSENT CHAPITRE")</f>
        <v xml:space="preserve">   INSTRUMENTS, APPAREILS ET MACHINES DE MESURE OU DE CONTRÔLE, NON-OPTIQUES, N.D.A. DANS LE PRÉSENT CHAPITRE</v>
      </c>
      <c r="C3148">
        <v>23278737</v>
      </c>
      <c r="D3148">
        <v>161</v>
      </c>
    </row>
    <row r="3149" spans="1:4" x14ac:dyDescent="0.25">
      <c r="A3149" t="str">
        <f>T("   903190")</f>
        <v xml:space="preserve">   903190</v>
      </c>
      <c r="B3149" t="str">
        <f>T("   Parties et accessoires des instruments, appareils et machines de mesure ou de contrôle, n.d.a.")</f>
        <v xml:space="preserve">   Parties et accessoires des instruments, appareils et machines de mesure ou de contrôle, n.d.a.</v>
      </c>
      <c r="C3149">
        <v>14792552</v>
      </c>
      <c r="D3149">
        <v>72</v>
      </c>
    </row>
    <row r="3150" spans="1:4" x14ac:dyDescent="0.25">
      <c r="A3150" t="str">
        <f>T("   903210")</f>
        <v xml:space="preserve">   903210</v>
      </c>
      <c r="B3150" t="str">
        <f>T("   Thermostats pour la régulation ou le contrôle automatiques")</f>
        <v xml:space="preserve">   Thermostats pour la régulation ou le contrôle automatiques</v>
      </c>
      <c r="C3150">
        <v>1498869</v>
      </c>
      <c r="D3150">
        <v>447</v>
      </c>
    </row>
    <row r="3151" spans="1:4" x14ac:dyDescent="0.25">
      <c r="A3151" t="str">
        <f>T("   903289")</f>
        <v xml:space="preserve">   903289</v>
      </c>
      <c r="B3151" t="s">
        <v>501</v>
      </c>
      <c r="C3151">
        <v>2969997</v>
      </c>
      <c r="D3151">
        <v>12</v>
      </c>
    </row>
    <row r="3152" spans="1:4" x14ac:dyDescent="0.25">
      <c r="A3152" t="str">
        <f>T("   903290")</f>
        <v xml:space="preserve">   903290</v>
      </c>
      <c r="B3152" t="str">
        <f>T("   Parties et accessoires des instruments et appareils pour la régulation ou le contrôle automatiques, n.d.a.")</f>
        <v xml:space="preserve">   Parties et accessoires des instruments et appareils pour la régulation ou le contrôle automatiques, n.d.a.</v>
      </c>
      <c r="C3152">
        <v>7527797</v>
      </c>
      <c r="D3152">
        <v>10</v>
      </c>
    </row>
    <row r="3153" spans="1:4" x14ac:dyDescent="0.25">
      <c r="A3153" t="str">
        <f>T("   903300")</f>
        <v xml:space="preserve">   903300</v>
      </c>
      <c r="B3153" t="str">
        <f>T("   Parties et accessoires pour machines, appareils, instruments ou articles du chapitre 90, non dénommés ni compris dans le présent chapitre ou ailleurs")</f>
        <v xml:space="preserve">   Parties et accessoires pour machines, appareils, instruments ou articles du chapitre 90, non dénommés ni compris dans le présent chapitre ou ailleurs</v>
      </c>
      <c r="C3153">
        <v>1787491</v>
      </c>
      <c r="D3153">
        <v>1</v>
      </c>
    </row>
    <row r="3154" spans="1:4" x14ac:dyDescent="0.25">
      <c r="A3154" t="str">
        <f>T("   920600")</f>
        <v xml:space="preserve">   920600</v>
      </c>
      <c r="B3154" t="str">
        <f>T("   INSTRUMENTS DE MUSIQUE À PERCUSSION, P.EX. TAMBOURS, CAISSES, XYLOPHONES, CYMBALES, CASTAGNETTES, MARACAS [01/01/1988-31/12/1994: TAMBOURS, CAISSES, XYLOPHONES, CYMBALES, CASTAGNETTES, MARACAS ET AUTRES INSTRUMENTS DE MUSIQUE A PERCUSSION]")</f>
        <v xml:space="preserve">   INSTRUMENTS DE MUSIQUE À PERCUSSION, P.EX. TAMBOURS, CAISSES, XYLOPHONES, CYMBALES, CASTAGNETTES, MARACAS [01/01/1988-31/12/1994: TAMBOURS, CAISSES, XYLOPHONES, CYMBALES, CASTAGNETTES, MARACAS ET AUTRES INSTRUMENTS DE MUSIQUE A PERCUSSION]</v>
      </c>
      <c r="C3154">
        <v>499962</v>
      </c>
      <c r="D3154">
        <v>539</v>
      </c>
    </row>
    <row r="3155" spans="1:4" x14ac:dyDescent="0.25">
      <c r="A3155" t="str">
        <f>T("   940290")</f>
        <v xml:space="preserve">   940290</v>
      </c>
      <c r="B3155"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3155">
        <v>180497319</v>
      </c>
      <c r="D3155">
        <v>5840</v>
      </c>
    </row>
    <row r="3156" spans="1:4" x14ac:dyDescent="0.25">
      <c r="A3156" t="str">
        <f>T("   940340")</f>
        <v xml:space="preserve">   940340</v>
      </c>
      <c r="B3156" t="str">
        <f>T("   Meubles de cuisine, en bois (sauf sièges)")</f>
        <v xml:space="preserve">   Meubles de cuisine, en bois (sauf sièges)</v>
      </c>
      <c r="C3156">
        <v>2748472</v>
      </c>
      <c r="D3156">
        <v>5085</v>
      </c>
    </row>
    <row r="3157" spans="1:4" x14ac:dyDescent="0.25">
      <c r="A3157" t="str">
        <f>T("   940350")</f>
        <v xml:space="preserve">   940350</v>
      </c>
      <c r="B3157" t="str">
        <f>T("   Meubles pour chambres à coucher, en bois (sauf sièges)")</f>
        <v xml:space="preserve">   Meubles pour chambres à coucher, en bois (sauf sièges)</v>
      </c>
      <c r="C3157">
        <v>1275000</v>
      </c>
      <c r="D3157">
        <v>1479</v>
      </c>
    </row>
    <row r="3158" spans="1:4" x14ac:dyDescent="0.25">
      <c r="A3158" t="str">
        <f>T("   940360")</f>
        <v xml:space="preserve">   940360</v>
      </c>
      <c r="B3158" t="str">
        <f>T("   Meubles en bois (autres que pour bureaux, cuisines ou chambres à coucher et autres que sièges)")</f>
        <v xml:space="preserve">   Meubles en bois (autres que pour bureaux, cuisines ou chambres à coucher et autres que sièges)</v>
      </c>
      <c r="C3158">
        <v>2345057</v>
      </c>
      <c r="D3158">
        <v>600</v>
      </c>
    </row>
    <row r="3159" spans="1:4" x14ac:dyDescent="0.25">
      <c r="A3159" t="str">
        <f>T("   940380")</f>
        <v xml:space="preserve">   940380</v>
      </c>
      <c r="B3159" t="str">
        <f>T("   Meubles en rotin, osier, bambou ou autres matières (sauf métal, bois et matières plastiques)")</f>
        <v xml:space="preserve">   Meubles en rotin, osier, bambou ou autres matières (sauf métal, bois et matières plastiques)</v>
      </c>
      <c r="C3159">
        <v>49277689</v>
      </c>
      <c r="D3159">
        <v>80040</v>
      </c>
    </row>
    <row r="3160" spans="1:4" x14ac:dyDescent="0.25">
      <c r="A3160" t="str">
        <f>T("   940429")</f>
        <v xml:space="preserve">   940429</v>
      </c>
      <c r="B3160"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3160">
        <v>517384</v>
      </c>
      <c r="D3160">
        <v>1061</v>
      </c>
    </row>
    <row r="3161" spans="1:4" x14ac:dyDescent="0.25">
      <c r="A3161" t="str">
        <f>T("   940510")</f>
        <v xml:space="preserve">   940510</v>
      </c>
      <c r="B3161"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3161">
        <v>17055</v>
      </c>
      <c r="D3161">
        <v>1</v>
      </c>
    </row>
    <row r="3162" spans="1:4" x14ac:dyDescent="0.25">
      <c r="A3162" t="str">
        <f>T("   940560")</f>
        <v xml:space="preserve">   940560</v>
      </c>
      <c r="B3162"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3162">
        <v>30175</v>
      </c>
      <c r="D3162">
        <v>20</v>
      </c>
    </row>
    <row r="3163" spans="1:4" x14ac:dyDescent="0.25">
      <c r="A3163" t="str">
        <f>T("   940600")</f>
        <v xml:space="preserve">   940600</v>
      </c>
      <c r="B3163" t="str">
        <f>T("   Constructions préfabriquées, même incomplètes ou non encore montées")</f>
        <v xml:space="preserve">   Constructions préfabriquées, même incomplètes ou non encore montées</v>
      </c>
      <c r="C3163">
        <v>100000</v>
      </c>
      <c r="D3163">
        <v>50</v>
      </c>
    </row>
    <row r="3164" spans="1:4" x14ac:dyDescent="0.25">
      <c r="A3164" t="str">
        <f>T("   950349")</f>
        <v xml:space="preserve">   950349</v>
      </c>
      <c r="B3164" t="str">
        <f>T("   JOUETS REPRÉSENTANT DES ANIMAUX OU DES CRÉATURES NON-HUMAINES, NON-REMBOURRÉS")</f>
        <v xml:space="preserve">   JOUETS REPRÉSENTANT DES ANIMAUX OU DES CRÉATURES NON-HUMAINES, NON-REMBOURRÉS</v>
      </c>
      <c r="C3164">
        <v>62972</v>
      </c>
      <c r="D3164">
        <v>75</v>
      </c>
    </row>
    <row r="3165" spans="1:4" x14ac:dyDescent="0.25">
      <c r="A3165" t="str">
        <f>T("   950390")</f>
        <v xml:space="preserve">   950390</v>
      </c>
      <c r="B3165" t="str">
        <f>T("   Jouets, n.d.a.")</f>
        <v xml:space="preserve">   Jouets, n.d.a.</v>
      </c>
      <c r="C3165">
        <v>131192</v>
      </c>
      <c r="D3165">
        <v>94</v>
      </c>
    </row>
    <row r="3166" spans="1:4" x14ac:dyDescent="0.25">
      <c r="A3166" t="str">
        <f>T("   950662")</f>
        <v xml:space="preserve">   950662</v>
      </c>
      <c r="B3166" t="str">
        <f>T("   Ballons et balles gonflables")</f>
        <v xml:space="preserve">   Ballons et balles gonflables</v>
      </c>
      <c r="C3166">
        <v>96341</v>
      </c>
      <c r="D3166">
        <v>149</v>
      </c>
    </row>
    <row r="3167" spans="1:4" x14ac:dyDescent="0.25">
      <c r="A3167" t="str">
        <f>T("   960350")</f>
        <v xml:space="preserve">   960350</v>
      </c>
      <c r="B3167" t="str">
        <f>T("   Brosses constituant des parties de machines, d'appareils ou de véhicules")</f>
        <v xml:space="preserve">   Brosses constituant des parties de machines, d'appareils ou de véhicules</v>
      </c>
      <c r="C3167">
        <v>1160393</v>
      </c>
      <c r="D3167">
        <v>2</v>
      </c>
    </row>
    <row r="3168" spans="1:4" x14ac:dyDescent="0.25">
      <c r="A3168" t="str">
        <f>T("   960810")</f>
        <v xml:space="preserve">   960810</v>
      </c>
      <c r="B3168" t="str">
        <f>T("   Stylos et crayons à bille")</f>
        <v xml:space="preserve">   Stylos et crayons à bille</v>
      </c>
      <c r="C3168">
        <v>164646</v>
      </c>
      <c r="D3168">
        <v>33</v>
      </c>
    </row>
    <row r="3169" spans="1:4" x14ac:dyDescent="0.25">
      <c r="A3169" t="str">
        <f>T("   960820")</f>
        <v xml:space="preserve">   960820</v>
      </c>
      <c r="B3169" t="str">
        <f>T("   Stylos et marqueurs à mèche feutre ou à autres pointes poreuses")</f>
        <v xml:space="preserve">   Stylos et marqueurs à mèche feutre ou à autres pointes poreuses</v>
      </c>
      <c r="C3169">
        <v>40014</v>
      </c>
      <c r="D3169">
        <v>10</v>
      </c>
    </row>
    <row r="3170" spans="1:4" x14ac:dyDescent="0.25">
      <c r="A3170" t="str">
        <f>T("   960990")</f>
        <v xml:space="preserve">   960990</v>
      </c>
      <c r="B3170" t="str">
        <f>T("   Crayons (sauf crayons à gaine), pastels, fusains, craies à écrire ou à dessiner et craies de tailleurs")</f>
        <v xml:space="preserve">   Crayons (sauf crayons à gaine), pastels, fusains, craies à écrire ou à dessiner et craies de tailleurs</v>
      </c>
      <c r="C3170">
        <v>68877</v>
      </c>
      <c r="D3170">
        <v>50</v>
      </c>
    </row>
    <row r="3171" spans="1:4" x14ac:dyDescent="0.25">
      <c r="A3171" t="str">
        <f>T("DJ")</f>
        <v>DJ</v>
      </c>
      <c r="B3171" t="str">
        <f>T("Djibouti")</f>
        <v>Djibouti</v>
      </c>
    </row>
    <row r="3172" spans="1:4" x14ac:dyDescent="0.25">
      <c r="A3172" t="str">
        <f>T("   ZZ_Total_Produit_SH6")</f>
        <v xml:space="preserve">   ZZ_Total_Produit_SH6</v>
      </c>
      <c r="B3172" t="str">
        <f>T("   ZZ_Total_Produit_SH6")</f>
        <v xml:space="preserve">   ZZ_Total_Produit_SH6</v>
      </c>
      <c r="C3172">
        <v>2500000</v>
      </c>
      <c r="D3172">
        <v>1800</v>
      </c>
    </row>
    <row r="3173" spans="1:4" x14ac:dyDescent="0.25">
      <c r="A3173" t="str">
        <f>T("   940360")</f>
        <v xml:space="preserve">   940360</v>
      </c>
      <c r="B3173" t="str">
        <f>T("   Meubles en bois (autres que pour bureaux, cuisines ou chambres à coucher et autres que sièges)")</f>
        <v xml:space="preserve">   Meubles en bois (autres que pour bureaux, cuisines ou chambres à coucher et autres que sièges)</v>
      </c>
      <c r="C3173">
        <v>2500000</v>
      </c>
      <c r="D3173">
        <v>1800</v>
      </c>
    </row>
    <row r="3174" spans="1:4" x14ac:dyDescent="0.25">
      <c r="A3174" t="str">
        <f>T("DK")</f>
        <v>DK</v>
      </c>
      <c r="B3174" t="str">
        <f>T("Danemark")</f>
        <v>Danemark</v>
      </c>
    </row>
    <row r="3175" spans="1:4" x14ac:dyDescent="0.25">
      <c r="A3175" t="str">
        <f>T("   ZZ_Total_Produit_SH6")</f>
        <v xml:space="preserve">   ZZ_Total_Produit_SH6</v>
      </c>
      <c r="B3175" t="str">
        <f>T("   ZZ_Total_Produit_SH6")</f>
        <v xml:space="preserve">   ZZ_Total_Produit_SH6</v>
      </c>
      <c r="C3175">
        <v>3395252777</v>
      </c>
      <c r="D3175">
        <v>3707387.21</v>
      </c>
    </row>
    <row r="3176" spans="1:4" x14ac:dyDescent="0.25">
      <c r="A3176" t="str">
        <f>T("   020712")</f>
        <v xml:space="preserve">   020712</v>
      </c>
      <c r="B3176" t="str">
        <f>T("   COQS ET POULES [DES ESPÈCES DOMESTIQUES], NON-DÉCOUPÉS EN MORCEAUX, CONGELÉS")</f>
        <v xml:space="preserve">   COQS ET POULES [DES ESPÈCES DOMESTIQUES], NON-DÉCOUPÉS EN MORCEAUX, CONGELÉS</v>
      </c>
      <c r="C3176">
        <v>279267588</v>
      </c>
      <c r="D3176">
        <v>453940</v>
      </c>
    </row>
    <row r="3177" spans="1:4" x14ac:dyDescent="0.25">
      <c r="A3177" t="str">
        <f>T("   020714")</f>
        <v xml:space="preserve">   020714</v>
      </c>
      <c r="B3177" t="str">
        <f>T("   Morceaux et abats comestibles de coqs et de poules [des espèces domestiques], congelés")</f>
        <v xml:space="preserve">   Morceaux et abats comestibles de coqs et de poules [des espèces domestiques], congelés</v>
      </c>
      <c r="C3177">
        <v>983603535</v>
      </c>
      <c r="D3177">
        <v>1615006</v>
      </c>
    </row>
    <row r="3178" spans="1:4" x14ac:dyDescent="0.25">
      <c r="A3178" t="str">
        <f>T("   020727")</f>
        <v xml:space="preserve">   020727</v>
      </c>
      <c r="B3178" t="str">
        <f>T("   Morceaux et abats comestibles de dindes et dindons [des espèces domestiques], congelés")</f>
        <v xml:space="preserve">   Morceaux et abats comestibles de dindes et dindons [des espèces domestiques], congelés</v>
      </c>
      <c r="C3178">
        <v>529896980</v>
      </c>
      <c r="D3178">
        <v>867673</v>
      </c>
    </row>
    <row r="3179" spans="1:4" x14ac:dyDescent="0.25">
      <c r="A3179" t="str">
        <f>T("   020736")</f>
        <v xml:space="preserve">   020736</v>
      </c>
      <c r="B3179" t="str">
        <f>T("   Morceaux et abats comestibles de canards, d'oies ou de pintades [des espèces domestiques], congelés (à l'excl. des foies gras)")</f>
        <v xml:space="preserve">   Morceaux et abats comestibles de canards, d'oies ou de pintades [des espèces domestiques], congelés (à l'excl. des foies gras)</v>
      </c>
      <c r="C3179">
        <v>14411442</v>
      </c>
      <c r="D3179">
        <v>50000</v>
      </c>
    </row>
    <row r="3180" spans="1:4" x14ac:dyDescent="0.25">
      <c r="A3180" t="str">
        <f>T("   030374")</f>
        <v xml:space="preserve">   030374</v>
      </c>
      <c r="B3180" t="str">
        <f>T("   Maquereaux [Scomber scombrus, Scomber australasicus, Scomber japonicus], congelés")</f>
        <v xml:space="preserve">   Maquereaux [Scomber scombrus, Scomber australasicus, Scomber japonicus], congelés</v>
      </c>
      <c r="C3180">
        <v>4375253</v>
      </c>
      <c r="D3180">
        <v>25780</v>
      </c>
    </row>
    <row r="3181" spans="1:4" x14ac:dyDescent="0.25">
      <c r="A3181" t="str">
        <f>T("   030379")</f>
        <v xml:space="preserve">   030379</v>
      </c>
      <c r="B3181" t="s">
        <v>17</v>
      </c>
      <c r="C3181">
        <v>11817777</v>
      </c>
      <c r="D3181">
        <v>52520</v>
      </c>
    </row>
    <row r="3182" spans="1:4" x14ac:dyDescent="0.25">
      <c r="A3182" t="str">
        <f>T("   050400")</f>
        <v xml:space="preserve">   050400</v>
      </c>
      <c r="B3182"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3182">
        <v>9085039</v>
      </c>
      <c r="D3182">
        <v>14960</v>
      </c>
    </row>
    <row r="3183" spans="1:4" x14ac:dyDescent="0.25">
      <c r="A3183" t="str">
        <f>T("   160100")</f>
        <v xml:space="preserve">   160100</v>
      </c>
      <c r="B3183" t="str">
        <f>T("   Saucisses, saucissons et produits simil., de viande, d'abats ou de sang; préparations alimentaires à base de ces produits")</f>
        <v xml:space="preserve">   Saucisses, saucissons et produits simil., de viande, d'abats ou de sang; préparations alimentaires à base de ces produits</v>
      </c>
      <c r="C3183">
        <v>62343750</v>
      </c>
      <c r="D3183">
        <v>101998</v>
      </c>
    </row>
    <row r="3184" spans="1:4" x14ac:dyDescent="0.25">
      <c r="A3184" t="str">
        <f>T("   220300")</f>
        <v xml:space="preserve">   220300</v>
      </c>
      <c r="B3184" t="str">
        <f>T("   Bières de malt")</f>
        <v xml:space="preserve">   Bières de malt</v>
      </c>
      <c r="C3184">
        <v>69295292</v>
      </c>
      <c r="D3184">
        <v>154318</v>
      </c>
    </row>
    <row r="3185" spans="1:4" x14ac:dyDescent="0.25">
      <c r="A3185" t="str">
        <f>T("   300220")</f>
        <v xml:space="preserve">   300220</v>
      </c>
      <c r="B3185" t="str">
        <f>T("   Vaccins pour la médecine humaine")</f>
        <v xml:space="preserve">   Vaccins pour la médecine humaine</v>
      </c>
      <c r="C3185">
        <v>321413545</v>
      </c>
      <c r="D3185">
        <v>4574</v>
      </c>
    </row>
    <row r="3186" spans="1:4" x14ac:dyDescent="0.25">
      <c r="A3186" t="str">
        <f>T("   300390")</f>
        <v xml:space="preserve">   300390</v>
      </c>
      <c r="B3186" t="s">
        <v>74</v>
      </c>
      <c r="C3186">
        <v>601535</v>
      </c>
      <c r="D3186">
        <v>47</v>
      </c>
    </row>
    <row r="3187" spans="1:4" x14ac:dyDescent="0.25">
      <c r="A3187" t="str">
        <f>T("   300650")</f>
        <v xml:space="preserve">   300650</v>
      </c>
      <c r="B3187" t="str">
        <f>T("   Trousses et boîtes de pharmacie garnies, pour soins de première urgence")</f>
        <v xml:space="preserve">   Trousses et boîtes de pharmacie garnies, pour soins de première urgence</v>
      </c>
      <c r="C3187">
        <v>33729</v>
      </c>
      <c r="D3187">
        <v>6</v>
      </c>
    </row>
    <row r="3188" spans="1:4" x14ac:dyDescent="0.25">
      <c r="A3188" t="str">
        <f>T("   381600")</f>
        <v xml:space="preserve">   381600</v>
      </c>
      <c r="B3188"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3188">
        <v>32904265</v>
      </c>
      <c r="D3188">
        <v>41570</v>
      </c>
    </row>
    <row r="3189" spans="1:4" x14ac:dyDescent="0.25">
      <c r="A3189" t="str">
        <f>T("   392310")</f>
        <v xml:space="preserve">   392310</v>
      </c>
      <c r="B3189" t="str">
        <f>T("   Boîtes, caisses, casiers et articles simil. pour le transport ou l'emballage, en matières plastiques")</f>
        <v xml:space="preserve">   Boîtes, caisses, casiers et articles simil. pour le transport ou l'emballage, en matières plastiques</v>
      </c>
      <c r="C3189">
        <v>728785</v>
      </c>
      <c r="D3189">
        <v>119</v>
      </c>
    </row>
    <row r="3190" spans="1:4" x14ac:dyDescent="0.25">
      <c r="A3190" t="str">
        <f>T("   392350")</f>
        <v xml:space="preserve">   392350</v>
      </c>
      <c r="B3190" t="str">
        <f>T("   Bouchons, couvercles, capsules et autres dispositifs de fermeture, en matières plastiques")</f>
        <v xml:space="preserve">   Bouchons, couvercles, capsules et autres dispositifs de fermeture, en matières plastiques</v>
      </c>
      <c r="C3190">
        <v>1349087</v>
      </c>
      <c r="D3190">
        <v>3060</v>
      </c>
    </row>
    <row r="3191" spans="1:4" x14ac:dyDescent="0.25">
      <c r="A3191" t="str">
        <f>T("   392410")</f>
        <v xml:space="preserve">   392410</v>
      </c>
      <c r="B3191" t="str">
        <f>T("   Vaisselle et autres articles pour le service de la table ou de la cuisine, en matières plastiques")</f>
        <v xml:space="preserve">   Vaisselle et autres articles pour le service de la table ou de la cuisine, en matières plastiques</v>
      </c>
      <c r="C3191">
        <v>31224</v>
      </c>
      <c r="D3191">
        <v>68</v>
      </c>
    </row>
    <row r="3192" spans="1:4" x14ac:dyDescent="0.25">
      <c r="A3192" t="str">
        <f>T("   401211")</f>
        <v xml:space="preserve">   401211</v>
      </c>
      <c r="B3192"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3192">
        <v>4673997</v>
      </c>
      <c r="D3192">
        <v>14000</v>
      </c>
    </row>
    <row r="3193" spans="1:4" x14ac:dyDescent="0.25">
      <c r="A3193" t="str">
        <f>T("   401220")</f>
        <v xml:space="preserve">   401220</v>
      </c>
      <c r="B3193" t="str">
        <f>T("   Pneumatiques usagés, en caoutchouc")</f>
        <v xml:space="preserve">   Pneumatiques usagés, en caoutchouc</v>
      </c>
      <c r="C3193">
        <v>105609</v>
      </c>
      <c r="D3193">
        <v>150</v>
      </c>
    </row>
    <row r="3194" spans="1:4" x14ac:dyDescent="0.25">
      <c r="A3194" t="str">
        <f>T("   401310")</f>
        <v xml:space="preserve">   401310</v>
      </c>
      <c r="B3194"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3194">
        <v>584952</v>
      </c>
      <c r="D3194">
        <v>7100</v>
      </c>
    </row>
    <row r="3195" spans="1:4" x14ac:dyDescent="0.25">
      <c r="A3195" t="str">
        <f>T("   401693")</f>
        <v xml:space="preserve">   401693</v>
      </c>
      <c r="B3195" t="str">
        <f>T("   Joints en caoutchouc vulcanisé non durci (à l'excl. des articles en caoutchouc alvéolaire)")</f>
        <v xml:space="preserve">   Joints en caoutchouc vulcanisé non durci (à l'excl. des articles en caoutchouc alvéolaire)</v>
      </c>
      <c r="C3195">
        <v>582335</v>
      </c>
      <c r="D3195">
        <v>95</v>
      </c>
    </row>
    <row r="3196" spans="1:4" x14ac:dyDescent="0.25">
      <c r="A3196" t="str">
        <f>T("   401699")</f>
        <v xml:space="preserve">   401699</v>
      </c>
      <c r="B3196" t="str">
        <f>T("   OUVRAGES EN CAOUTCHOUC VULCANISÉ NON-DURCI, N.D.A.")</f>
        <v xml:space="preserve">   OUVRAGES EN CAOUTCHOUC VULCANISÉ NON-DURCI, N.D.A.</v>
      </c>
      <c r="C3196">
        <v>8800360</v>
      </c>
      <c r="D3196">
        <v>220</v>
      </c>
    </row>
    <row r="3197" spans="1:4" x14ac:dyDescent="0.25">
      <c r="A3197" t="str">
        <f>T("   482390")</f>
        <v xml:space="preserve">   482390</v>
      </c>
      <c r="B3197" t="s">
        <v>216</v>
      </c>
      <c r="C3197">
        <v>28383</v>
      </c>
      <c r="D3197">
        <v>50</v>
      </c>
    </row>
    <row r="3198" spans="1:4" x14ac:dyDescent="0.25">
      <c r="A3198" t="str">
        <f>T("   491110")</f>
        <v xml:space="preserve">   491110</v>
      </c>
      <c r="B3198" t="str">
        <f>T("   Imprimés publicitaires, catalogues commerciaux et simil.")</f>
        <v xml:space="preserve">   Imprimés publicitaires, catalogues commerciaux et simil.</v>
      </c>
      <c r="C3198">
        <v>8862</v>
      </c>
      <c r="D3198">
        <v>18</v>
      </c>
    </row>
    <row r="3199" spans="1:4" x14ac:dyDescent="0.25">
      <c r="A3199" t="str">
        <f>T("   610590")</f>
        <v xml:space="preserve">   610590</v>
      </c>
      <c r="B3199"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3199">
        <v>156118</v>
      </c>
      <c r="D3199">
        <v>341</v>
      </c>
    </row>
    <row r="3200" spans="1:4" x14ac:dyDescent="0.25">
      <c r="A3200" t="str">
        <f>T("   610910")</f>
        <v xml:space="preserve">   610910</v>
      </c>
      <c r="B3200" t="str">
        <f>T("   T-shirts et maillots de corps, en bonneterie, de coton,")</f>
        <v xml:space="preserve">   T-shirts et maillots de corps, en bonneterie, de coton,</v>
      </c>
      <c r="C3200">
        <v>97974</v>
      </c>
      <c r="D3200">
        <v>173</v>
      </c>
    </row>
    <row r="3201" spans="1:4" x14ac:dyDescent="0.25">
      <c r="A3201" t="str">
        <f>T("   630900")</f>
        <v xml:space="preserve">   630900</v>
      </c>
      <c r="B3201" t="s">
        <v>273</v>
      </c>
      <c r="C3201">
        <v>6200000</v>
      </c>
      <c r="D3201">
        <v>10261</v>
      </c>
    </row>
    <row r="3202" spans="1:4" x14ac:dyDescent="0.25">
      <c r="A3202" t="str">
        <f>T("   660110")</f>
        <v xml:space="preserve">   660110</v>
      </c>
      <c r="B3202" t="str">
        <f>T("   Parasols de jardin et articles simil. (sauf tentes de plage)")</f>
        <v xml:space="preserve">   Parasols de jardin et articles simil. (sauf tentes de plage)</v>
      </c>
      <c r="C3202">
        <v>234657</v>
      </c>
      <c r="D3202">
        <v>477.41</v>
      </c>
    </row>
    <row r="3203" spans="1:4" x14ac:dyDescent="0.25">
      <c r="A3203" t="str">
        <f>T("   701329")</f>
        <v xml:space="preserve">   701329</v>
      </c>
      <c r="B3203" t="str">
        <f>T("   Verres à boire (autres qu'en vitrocérame, autres qu'en cristal au plomb)")</f>
        <v xml:space="preserve">   Verres à boire (autres qu'en vitrocérame, autres qu'en cristal au plomb)</v>
      </c>
      <c r="C3203">
        <v>119483</v>
      </c>
      <c r="D3203">
        <v>258</v>
      </c>
    </row>
    <row r="3204" spans="1:4" x14ac:dyDescent="0.25">
      <c r="A3204" t="str">
        <f>T("   701339")</f>
        <v xml:space="preserve">   701339</v>
      </c>
      <c r="B3204" t="s">
        <v>324</v>
      </c>
      <c r="C3204">
        <v>29328</v>
      </c>
      <c r="D3204">
        <v>52</v>
      </c>
    </row>
    <row r="3205" spans="1:4" x14ac:dyDescent="0.25">
      <c r="A3205" t="str">
        <f>T("   731815")</f>
        <v xml:space="preserve">   731815</v>
      </c>
      <c r="B3205" t="s">
        <v>354</v>
      </c>
      <c r="C3205">
        <v>4442162</v>
      </c>
      <c r="D3205">
        <v>484</v>
      </c>
    </row>
    <row r="3206" spans="1:4" x14ac:dyDescent="0.25">
      <c r="A3206" t="str">
        <f>T("   820551")</f>
        <v xml:space="preserve">   820551</v>
      </c>
      <c r="B3206" t="str">
        <f>T("   Outils à main d'économie domestique, non mécaniques, avec partie travaillante en métaux communs, n.d.a.")</f>
        <v xml:space="preserve">   Outils à main d'économie domestique, non mécaniques, avec partie travaillante en métaux communs, n.d.a.</v>
      </c>
      <c r="C3206">
        <v>174545</v>
      </c>
      <c r="D3206">
        <v>343</v>
      </c>
    </row>
    <row r="3207" spans="1:4" x14ac:dyDescent="0.25">
      <c r="A3207" t="str">
        <f>T("   831190")</f>
        <v xml:space="preserve">   831190</v>
      </c>
      <c r="B3207" t="s">
        <v>385</v>
      </c>
      <c r="C3207">
        <v>100000</v>
      </c>
      <c r="D3207">
        <v>45</v>
      </c>
    </row>
    <row r="3208" spans="1:4" x14ac:dyDescent="0.25">
      <c r="A3208" t="str">
        <f>T("   840790")</f>
        <v xml:space="preserve">   840790</v>
      </c>
      <c r="B3208" t="s">
        <v>391</v>
      </c>
      <c r="C3208">
        <v>10500608</v>
      </c>
      <c r="D3208">
        <v>17844</v>
      </c>
    </row>
    <row r="3209" spans="1:4" x14ac:dyDescent="0.25">
      <c r="A3209" t="str">
        <f>T("   840890")</f>
        <v xml:space="preserve">   840890</v>
      </c>
      <c r="B3209" t="s">
        <v>394</v>
      </c>
      <c r="C3209">
        <v>951105</v>
      </c>
      <c r="D3209">
        <v>519</v>
      </c>
    </row>
    <row r="3210" spans="1:4" x14ac:dyDescent="0.25">
      <c r="A3210" t="str">
        <f>T("   840999")</f>
        <v xml:space="preserve">   840999</v>
      </c>
      <c r="B3210"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3210">
        <v>2683738</v>
      </c>
      <c r="D3210">
        <v>1801.4</v>
      </c>
    </row>
    <row r="3211" spans="1:4" x14ac:dyDescent="0.25">
      <c r="A3211" t="str">
        <f>T("   841790")</f>
        <v xml:space="preserve">   841790</v>
      </c>
      <c r="B3211" t="str">
        <f>T("   Parties de fours industriels ou de laboratoire non-électriques, y.c. d'incinérateurs, n.d.a.")</f>
        <v xml:space="preserve">   Parties de fours industriels ou de laboratoire non-électriques, y.c. d'incinérateurs, n.d.a.</v>
      </c>
      <c r="C3211">
        <v>8381858</v>
      </c>
      <c r="D3211">
        <v>936</v>
      </c>
    </row>
    <row r="3212" spans="1:4" x14ac:dyDescent="0.25">
      <c r="A3212" t="str">
        <f>T("   841829")</f>
        <v xml:space="preserve">   841829</v>
      </c>
      <c r="B3212" t="str">
        <f>T("   Réfrigérateurs ménagers à absorption, non-électriques")</f>
        <v xml:space="preserve">   Réfrigérateurs ménagers à absorption, non-électriques</v>
      </c>
      <c r="C3212">
        <v>105482304</v>
      </c>
      <c r="D3212">
        <v>8800</v>
      </c>
    </row>
    <row r="3213" spans="1:4" x14ac:dyDescent="0.25">
      <c r="A3213" t="str">
        <f>T("   841830")</f>
        <v xml:space="preserve">   841830</v>
      </c>
      <c r="B3213" t="str">
        <f>T("   Meubles congélateurs-conservateurs du type coffre, capacité &lt;= 800 l")</f>
        <v xml:space="preserve">   Meubles congélateurs-conservateurs du type coffre, capacité &lt;= 800 l</v>
      </c>
      <c r="C3213">
        <v>35357097</v>
      </c>
      <c r="D3213">
        <v>13235</v>
      </c>
    </row>
    <row r="3214" spans="1:4" x14ac:dyDescent="0.25">
      <c r="A3214" t="str">
        <f>T("   841850")</f>
        <v xml:space="preserve">   841850</v>
      </c>
      <c r="B3214" t="s">
        <v>404</v>
      </c>
      <c r="C3214">
        <v>21487938</v>
      </c>
      <c r="D3214">
        <v>1935</v>
      </c>
    </row>
    <row r="3215" spans="1:4" x14ac:dyDescent="0.25">
      <c r="A3215" t="str">
        <f>T("   842129")</f>
        <v xml:space="preserve">   842129</v>
      </c>
      <c r="B3215"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3215">
        <v>15349693</v>
      </c>
      <c r="D3215">
        <v>546</v>
      </c>
    </row>
    <row r="3216" spans="1:4" x14ac:dyDescent="0.25">
      <c r="A3216" t="str">
        <f>T("   842139")</f>
        <v xml:space="preserve">   842139</v>
      </c>
      <c r="B3216"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3216">
        <v>5681778</v>
      </c>
      <c r="D3216">
        <v>306</v>
      </c>
    </row>
    <row r="3217" spans="1:4" x14ac:dyDescent="0.25">
      <c r="A3217" t="str">
        <f>T("   842199")</f>
        <v xml:space="preserve">   842199</v>
      </c>
      <c r="B3217" t="str">
        <f>T("   Parties d'appareils pour la filtration ou l'épuration des liquides ou des gaz, n.d.a.")</f>
        <v xml:space="preserve">   Parties d'appareils pour la filtration ou l'épuration des liquides ou des gaz, n.d.a.</v>
      </c>
      <c r="C3217">
        <v>138211</v>
      </c>
      <c r="D3217">
        <v>58</v>
      </c>
    </row>
    <row r="3218" spans="1:4" x14ac:dyDescent="0.25">
      <c r="A3218" t="str">
        <f>T("   842790")</f>
        <v xml:space="preserve">   842790</v>
      </c>
      <c r="B3218" t="str">
        <f>T("   Chariots de manutention munis d'un dispositif de levage mais non autopropulsés")</f>
        <v xml:space="preserve">   Chariots de manutention munis d'un dispositif de levage mais non autopropulsés</v>
      </c>
      <c r="C3218">
        <v>162810787</v>
      </c>
      <c r="D3218">
        <v>39200</v>
      </c>
    </row>
    <row r="3219" spans="1:4" x14ac:dyDescent="0.25">
      <c r="A3219" t="str">
        <f>T("   843139")</f>
        <v xml:space="preserve">   843139</v>
      </c>
      <c r="B3219" t="str">
        <f>T("   Parties de machines et appareils du n° 8428, n.d.a.")</f>
        <v xml:space="preserve">   Parties de machines et appareils du n° 8428, n.d.a.</v>
      </c>
      <c r="C3219">
        <v>20778189</v>
      </c>
      <c r="D3219">
        <v>1704</v>
      </c>
    </row>
    <row r="3220" spans="1:4" x14ac:dyDescent="0.25">
      <c r="A3220" t="str">
        <f>T("   843149")</f>
        <v xml:space="preserve">   843149</v>
      </c>
      <c r="B3220" t="str">
        <f>T("   Parties de machines et appareils du n° 8426, 8429 ou 8430, n.d.a.")</f>
        <v xml:space="preserve">   Parties de machines et appareils du n° 8426, 8429 ou 8430, n.d.a.</v>
      </c>
      <c r="C3220">
        <v>278783</v>
      </c>
      <c r="D3220">
        <v>3</v>
      </c>
    </row>
    <row r="3221" spans="1:4" x14ac:dyDescent="0.25">
      <c r="A3221" t="str">
        <f>T("   843330")</f>
        <v xml:space="preserve">   843330</v>
      </c>
      <c r="B3221" t="str">
        <f>T("   Machines et appareils de fenaison (à l'excl. des faucheuses)")</f>
        <v xml:space="preserve">   Machines et appareils de fenaison (à l'excl. des faucheuses)</v>
      </c>
      <c r="C3221">
        <v>1836321</v>
      </c>
      <c r="D3221">
        <v>299</v>
      </c>
    </row>
    <row r="3222" spans="1:4" x14ac:dyDescent="0.25">
      <c r="A3222" t="str">
        <f>T("   847149")</f>
        <v xml:space="preserve">   847149</v>
      </c>
      <c r="B3222" t="s">
        <v>435</v>
      </c>
      <c r="C3222">
        <v>50509</v>
      </c>
      <c r="D3222">
        <v>5</v>
      </c>
    </row>
    <row r="3223" spans="1:4" x14ac:dyDescent="0.25">
      <c r="A3223" t="str">
        <f>T("   847180")</f>
        <v xml:space="preserve">   847180</v>
      </c>
      <c r="B3223"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3223">
        <v>4675956</v>
      </c>
      <c r="D3223">
        <v>320.39999999999998</v>
      </c>
    </row>
    <row r="3224" spans="1:4" x14ac:dyDescent="0.25">
      <c r="A3224" t="str">
        <f>T("   847190")</f>
        <v xml:space="preserve">   847190</v>
      </c>
      <c r="B322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224">
        <v>71652566</v>
      </c>
      <c r="D3224">
        <v>3884</v>
      </c>
    </row>
    <row r="3225" spans="1:4" x14ac:dyDescent="0.25">
      <c r="A3225" t="str">
        <f>T("   847330")</f>
        <v xml:space="preserve">   847330</v>
      </c>
      <c r="B3225" t="str">
        <f>T("   Parties et accessoires pour machines automatiques de traitement de l'information ou pour autres machines du n° 8471, n.d.a.")</f>
        <v xml:space="preserve">   Parties et accessoires pour machines automatiques de traitement de l'information ou pour autres machines du n° 8471, n.d.a.</v>
      </c>
      <c r="C3225">
        <v>13151998</v>
      </c>
      <c r="D3225">
        <v>48</v>
      </c>
    </row>
    <row r="3226" spans="1:4" x14ac:dyDescent="0.25">
      <c r="A3226" t="str">
        <f>T("   847490")</f>
        <v xml:space="preserve">   847490</v>
      </c>
      <c r="B3226" t="str">
        <f>T("   Parties des machines et appareils pour le travail des matières minérales du n° 8474, n.d.a.")</f>
        <v xml:space="preserve">   Parties des machines et appareils pour le travail des matières minérales du n° 8474, n.d.a.</v>
      </c>
      <c r="C3226">
        <v>17986439</v>
      </c>
      <c r="D3226">
        <v>1014</v>
      </c>
    </row>
    <row r="3227" spans="1:4" x14ac:dyDescent="0.25">
      <c r="A3227" t="str">
        <f>T("   848310")</f>
        <v xml:space="preserve">   848310</v>
      </c>
      <c r="B3227" t="str">
        <f>T("   Arbres de transmission pour machines, y.c. -les arbres à cames et les vilebrequins- et manivelles")</f>
        <v xml:space="preserve">   Arbres de transmission pour machines, y.c. -les arbres à cames et les vilebrequins- et manivelles</v>
      </c>
      <c r="C3227">
        <v>2266998</v>
      </c>
      <c r="D3227">
        <v>9</v>
      </c>
    </row>
    <row r="3228" spans="1:4" x14ac:dyDescent="0.25">
      <c r="A3228" t="str">
        <f>T("   848330")</f>
        <v xml:space="preserve">   848330</v>
      </c>
      <c r="B3228" t="str">
        <f>T("   Paliers pour machines, sans roulements incorporés; coussinets et coquilles de coussinets pour machines")</f>
        <v xml:space="preserve">   Paliers pour machines, sans roulements incorporés; coussinets et coquilles de coussinets pour machines</v>
      </c>
      <c r="C3228">
        <v>1398507</v>
      </c>
      <c r="D3228">
        <v>50</v>
      </c>
    </row>
    <row r="3229" spans="1:4" x14ac:dyDescent="0.25">
      <c r="A3229" t="str">
        <f>T("   848490")</f>
        <v xml:space="preserve">   848490</v>
      </c>
      <c r="B3229" t="str">
        <f>T("   Jeux ou assortiments de joints de composition différente présentés en pochettes, enveloppes ou emballages analogues")</f>
        <v xml:space="preserve">   Jeux ou assortiments de joints de composition différente présentés en pochettes, enveloppes ou emballages analogues</v>
      </c>
      <c r="C3229">
        <v>95754</v>
      </c>
      <c r="D3229">
        <v>10</v>
      </c>
    </row>
    <row r="3230" spans="1:4" x14ac:dyDescent="0.25">
      <c r="A3230" t="str">
        <f>T("   850212")</f>
        <v xml:space="preserve">   850212</v>
      </c>
      <c r="B3230"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3230">
        <v>754354</v>
      </c>
      <c r="D3230">
        <v>5840</v>
      </c>
    </row>
    <row r="3231" spans="1:4" x14ac:dyDescent="0.25">
      <c r="A3231" t="str">
        <f>T("   850440")</f>
        <v xml:space="preserve">   850440</v>
      </c>
      <c r="B3231" t="str">
        <f>T("   CONVERTISSEURS STATIQUES")</f>
        <v xml:space="preserve">   CONVERTISSEURS STATIQUES</v>
      </c>
      <c r="C3231">
        <v>4544919</v>
      </c>
      <c r="D3231">
        <v>172</v>
      </c>
    </row>
    <row r="3232" spans="1:4" x14ac:dyDescent="0.25">
      <c r="A3232" t="str">
        <f>T("   850610")</f>
        <v xml:space="preserve">   850610</v>
      </c>
      <c r="B3232" t="str">
        <f>T("   Piles et batteries de piles électriques, au bioxyde de manganèse (sauf hors d'usage)")</f>
        <v xml:space="preserve">   Piles et batteries de piles électriques, au bioxyde de manganèse (sauf hors d'usage)</v>
      </c>
      <c r="C3232">
        <v>540511</v>
      </c>
      <c r="D3232">
        <v>5</v>
      </c>
    </row>
    <row r="3233" spans="1:4" x14ac:dyDescent="0.25">
      <c r="A3233" t="str">
        <f>T("   852790")</f>
        <v xml:space="preserve">   852790</v>
      </c>
      <c r="B3233" t="str">
        <f>T("   Récepteurs pour la radiotéléphonie, la radiotélégraphie ou la radiodiffusion commerciale")</f>
        <v xml:space="preserve">   Récepteurs pour la radiotéléphonie, la radiotélégraphie ou la radiodiffusion commerciale</v>
      </c>
      <c r="C3233">
        <v>1227136</v>
      </c>
      <c r="D3233">
        <v>26</v>
      </c>
    </row>
    <row r="3234" spans="1:4" x14ac:dyDescent="0.25">
      <c r="A3234" t="str">
        <f>T("   852821")</f>
        <v xml:space="preserve">   852821</v>
      </c>
      <c r="B3234" t="str">
        <f>T("   Moniteurs vidéo en couleurs")</f>
        <v xml:space="preserve">   Moniteurs vidéo en couleurs</v>
      </c>
      <c r="C3234">
        <v>125780</v>
      </c>
      <c r="D3234">
        <v>21</v>
      </c>
    </row>
    <row r="3235" spans="1:4" x14ac:dyDescent="0.25">
      <c r="A3235" t="str">
        <f>T("   853650")</f>
        <v xml:space="preserve">   853650</v>
      </c>
      <c r="B3235" t="str">
        <f>T("   Interrupteurs, sectionneurs et commutateurs, pour une tension &lt;= 1.000 V (autres que relais et disjoncteurs)")</f>
        <v xml:space="preserve">   Interrupteurs, sectionneurs et commutateurs, pour une tension &lt;= 1.000 V (autres que relais et disjoncteurs)</v>
      </c>
      <c r="C3235">
        <v>9294362</v>
      </c>
      <c r="D3235">
        <v>156</v>
      </c>
    </row>
    <row r="3236" spans="1:4" x14ac:dyDescent="0.25">
      <c r="A3236" t="str">
        <f>T("   870120")</f>
        <v xml:space="preserve">   870120</v>
      </c>
      <c r="B3236" t="str">
        <f>T("   Tracteurs routiers pour semi-remorques")</f>
        <v xml:space="preserve">   Tracteurs routiers pour semi-remorques</v>
      </c>
      <c r="C3236">
        <v>16711038</v>
      </c>
      <c r="D3236">
        <v>32025</v>
      </c>
    </row>
    <row r="3237" spans="1:4" x14ac:dyDescent="0.25">
      <c r="A3237" t="str">
        <f>T("   870190")</f>
        <v xml:space="preserve">   870190</v>
      </c>
      <c r="B3237"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3237">
        <v>293720752</v>
      </c>
      <c r="D3237">
        <v>54431</v>
      </c>
    </row>
    <row r="3238" spans="1:4" x14ac:dyDescent="0.25">
      <c r="A3238" t="str">
        <f>T("   870210")</f>
        <v xml:space="preserve">   870210</v>
      </c>
      <c r="B3238" t="s">
        <v>469</v>
      </c>
      <c r="C3238">
        <v>1200000</v>
      </c>
      <c r="D3238">
        <v>1436</v>
      </c>
    </row>
    <row r="3239" spans="1:4" x14ac:dyDescent="0.25">
      <c r="A3239" t="str">
        <f>T("   870290")</f>
        <v xml:space="preserve">   870290</v>
      </c>
      <c r="B3239" t="s">
        <v>470</v>
      </c>
      <c r="C3239">
        <v>4800000</v>
      </c>
      <c r="D3239">
        <v>5586</v>
      </c>
    </row>
    <row r="3240" spans="1:4" x14ac:dyDescent="0.25">
      <c r="A3240" t="str">
        <f>T("   870322")</f>
        <v xml:space="preserve">   870322</v>
      </c>
      <c r="B3240" t="s">
        <v>472</v>
      </c>
      <c r="C3240">
        <v>36173163</v>
      </c>
      <c r="D3240">
        <v>39523</v>
      </c>
    </row>
    <row r="3241" spans="1:4" x14ac:dyDescent="0.25">
      <c r="A3241" t="str">
        <f>T("   870323")</f>
        <v xml:space="preserve">   870323</v>
      </c>
      <c r="B3241" t="s">
        <v>473</v>
      </c>
      <c r="C3241">
        <v>73122770</v>
      </c>
      <c r="D3241">
        <v>15706</v>
      </c>
    </row>
    <row r="3242" spans="1:4" x14ac:dyDescent="0.25">
      <c r="A3242" t="str">
        <f>T("   870332")</f>
        <v xml:space="preserve">   870332</v>
      </c>
      <c r="B3242" t="s">
        <v>476</v>
      </c>
      <c r="C3242">
        <v>10409085</v>
      </c>
      <c r="D3242">
        <v>1801</v>
      </c>
    </row>
    <row r="3243" spans="1:4" x14ac:dyDescent="0.25">
      <c r="A3243" t="str">
        <f>T("   870421")</f>
        <v xml:space="preserve">   870421</v>
      </c>
      <c r="B3243" t="s">
        <v>478</v>
      </c>
      <c r="C3243">
        <v>5600000</v>
      </c>
      <c r="D3243">
        <v>9300</v>
      </c>
    </row>
    <row r="3244" spans="1:4" x14ac:dyDescent="0.25">
      <c r="A3244" t="str">
        <f>T("   870431")</f>
        <v xml:space="preserve">   870431</v>
      </c>
      <c r="B3244" t="s">
        <v>481</v>
      </c>
      <c r="C3244">
        <v>72130480</v>
      </c>
      <c r="D3244">
        <v>25864</v>
      </c>
    </row>
    <row r="3245" spans="1:4" x14ac:dyDescent="0.25">
      <c r="A3245" t="str">
        <f>T("   870891")</f>
        <v xml:space="preserve">   870891</v>
      </c>
      <c r="B3245"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3245">
        <v>559672</v>
      </c>
      <c r="D3245">
        <v>91</v>
      </c>
    </row>
    <row r="3246" spans="1:4" x14ac:dyDescent="0.25">
      <c r="A3246" t="str">
        <f>T("   890399")</f>
        <v xml:space="preserve">   890399</v>
      </c>
      <c r="B3246"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3246">
        <v>2945542</v>
      </c>
      <c r="D3246">
        <v>480</v>
      </c>
    </row>
    <row r="3247" spans="1:4" x14ac:dyDescent="0.25">
      <c r="A3247" t="str">
        <f>T("   900659")</f>
        <v xml:space="preserve">   900659</v>
      </c>
      <c r="B3247" t="s">
        <v>490</v>
      </c>
      <c r="C3247">
        <v>15087</v>
      </c>
      <c r="D3247">
        <v>1</v>
      </c>
    </row>
    <row r="3248" spans="1:4" x14ac:dyDescent="0.25">
      <c r="A3248" t="str">
        <f>T("   901819")</f>
        <v xml:space="preserve">   901819</v>
      </c>
      <c r="B3248" t="s">
        <v>494</v>
      </c>
      <c r="C3248">
        <v>4256628</v>
      </c>
      <c r="D3248">
        <v>748</v>
      </c>
    </row>
    <row r="3249" spans="1:4" x14ac:dyDescent="0.25">
      <c r="A3249" t="str">
        <f>T("   940180")</f>
        <v xml:space="preserve">   940180</v>
      </c>
      <c r="B3249" t="str">
        <f>T("   Sièges, n.d.a.")</f>
        <v xml:space="preserve">   Sièges, n.d.a.</v>
      </c>
      <c r="C3249">
        <v>858606</v>
      </c>
      <c r="D3249">
        <v>140</v>
      </c>
    </row>
    <row r="3250" spans="1:4" x14ac:dyDescent="0.25">
      <c r="A3250" t="str">
        <f>T("   940330")</f>
        <v xml:space="preserve">   940330</v>
      </c>
      <c r="B3250" t="str">
        <f>T("   Meubles de bureau en bois (sauf sièges)")</f>
        <v xml:space="preserve">   Meubles de bureau en bois (sauf sièges)</v>
      </c>
      <c r="C3250">
        <v>5672473</v>
      </c>
      <c r="D3250">
        <v>1680</v>
      </c>
    </row>
    <row r="3251" spans="1:4" x14ac:dyDescent="0.25">
      <c r="A3251" t="str">
        <f>T("   940540")</f>
        <v xml:space="preserve">   940540</v>
      </c>
      <c r="B3251" t="str">
        <f>T("   Appareils d'éclairage électrique, n.d.a.")</f>
        <v xml:space="preserve">   Appareils d'éclairage électrique, n.d.a.</v>
      </c>
      <c r="C3251">
        <v>49774</v>
      </c>
      <c r="D3251">
        <v>88</v>
      </c>
    </row>
    <row r="3252" spans="1:4" x14ac:dyDescent="0.25">
      <c r="A3252" t="str">
        <f>T("   950390")</f>
        <v xml:space="preserve">   950390</v>
      </c>
      <c r="B3252" t="str">
        <f>T("   Jouets, n.d.a.")</f>
        <v xml:space="preserve">   Jouets, n.d.a.</v>
      </c>
      <c r="C3252">
        <v>45917</v>
      </c>
      <c r="D3252">
        <v>34</v>
      </c>
    </row>
    <row r="3253" spans="1:4" x14ac:dyDescent="0.25">
      <c r="A3253" t="str">
        <f>T("DZ")</f>
        <v>DZ</v>
      </c>
      <c r="B3253" t="str">
        <f>T("Algérie")</f>
        <v>Algérie</v>
      </c>
    </row>
    <row r="3254" spans="1:4" x14ac:dyDescent="0.25">
      <c r="A3254" t="str">
        <f>T("   ZZ_Total_Produit_SH6")</f>
        <v xml:space="preserve">   ZZ_Total_Produit_SH6</v>
      </c>
      <c r="B3254" t="str">
        <f>T("   ZZ_Total_Produit_SH6")</f>
        <v xml:space="preserve">   ZZ_Total_Produit_SH6</v>
      </c>
      <c r="C3254">
        <v>21757538</v>
      </c>
      <c r="D3254">
        <v>101156</v>
      </c>
    </row>
    <row r="3255" spans="1:4" x14ac:dyDescent="0.25">
      <c r="A3255" t="str">
        <f>T("   220210")</f>
        <v xml:space="preserve">   220210</v>
      </c>
      <c r="B3255"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3255">
        <v>3837563</v>
      </c>
      <c r="D3255">
        <v>13200</v>
      </c>
    </row>
    <row r="3256" spans="1:4" x14ac:dyDescent="0.25">
      <c r="A3256" t="str">
        <f>T("   252321")</f>
        <v xml:space="preserve">   252321</v>
      </c>
      <c r="B3256" t="str">
        <f>T("   Ciments Portland blancs, même colorés artificiellement")</f>
        <v xml:space="preserve">   Ciments Portland blancs, même colorés artificiellement</v>
      </c>
      <c r="C3256">
        <v>5170932</v>
      </c>
      <c r="D3256">
        <v>81000</v>
      </c>
    </row>
    <row r="3257" spans="1:4" x14ac:dyDescent="0.25">
      <c r="A3257" t="str">
        <f>T("   392590")</f>
        <v xml:space="preserve">   392590</v>
      </c>
      <c r="B3257" t="s">
        <v>144</v>
      </c>
      <c r="C3257">
        <v>285999</v>
      </c>
      <c r="D3257">
        <v>170</v>
      </c>
    </row>
    <row r="3258" spans="1:4" x14ac:dyDescent="0.25">
      <c r="A3258" t="str">
        <f>T("   491110")</f>
        <v xml:space="preserve">   491110</v>
      </c>
      <c r="B3258" t="str">
        <f>T("   Imprimés publicitaires, catalogues commerciaux et simil.")</f>
        <v xml:space="preserve">   Imprimés publicitaires, catalogues commerciaux et simil.</v>
      </c>
      <c r="C3258">
        <v>68679</v>
      </c>
      <c r="D3258">
        <v>71</v>
      </c>
    </row>
    <row r="3259" spans="1:4" x14ac:dyDescent="0.25">
      <c r="A3259" t="str">
        <f>T("   851780")</f>
        <v xml:space="preserve">   851780</v>
      </c>
      <c r="B3259" t="s">
        <v>453</v>
      </c>
      <c r="C3259">
        <v>1233205</v>
      </c>
      <c r="D3259">
        <v>65</v>
      </c>
    </row>
    <row r="3260" spans="1:4" x14ac:dyDescent="0.25">
      <c r="A3260" t="str">
        <f>T("   853620")</f>
        <v xml:space="preserve">   853620</v>
      </c>
      <c r="B3260" t="str">
        <f>T("   Disjoncteurs, pour une tension &lt;= 1.000 V")</f>
        <v xml:space="preserve">   Disjoncteurs, pour une tension &lt;= 1.000 V</v>
      </c>
      <c r="C3260">
        <v>463108</v>
      </c>
      <c r="D3260">
        <v>276</v>
      </c>
    </row>
    <row r="3261" spans="1:4" x14ac:dyDescent="0.25">
      <c r="A3261" t="str">
        <f>T("   853630")</f>
        <v xml:space="preserve">   853630</v>
      </c>
      <c r="B3261"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3261">
        <v>857996</v>
      </c>
      <c r="D3261">
        <v>511</v>
      </c>
    </row>
    <row r="3262" spans="1:4" x14ac:dyDescent="0.25">
      <c r="A3262" t="str">
        <f>T("   853650")</f>
        <v xml:space="preserve">   853650</v>
      </c>
      <c r="B3262" t="str">
        <f>T("   Interrupteurs, sectionneurs et commutateurs, pour une tension &lt;= 1.000 V (autres que relais et disjoncteurs)")</f>
        <v xml:space="preserve">   Interrupteurs, sectionneurs et commutateurs, pour une tension &lt;= 1.000 V (autres que relais et disjoncteurs)</v>
      </c>
      <c r="C3262">
        <v>5785567</v>
      </c>
      <c r="D3262">
        <v>3447</v>
      </c>
    </row>
    <row r="3263" spans="1:4" x14ac:dyDescent="0.25">
      <c r="A3263" t="str">
        <f>T("   853669")</f>
        <v xml:space="preserve">   853669</v>
      </c>
      <c r="B3263" t="str">
        <f>T("   Fiches et prises de courant, pour une tension &lt;= 1.000 V (sauf douilles pour lampes)")</f>
        <v xml:space="preserve">   Fiches et prises de courant, pour une tension &lt;= 1.000 V (sauf douilles pour lampes)</v>
      </c>
      <c r="C3263">
        <v>3832774</v>
      </c>
      <c r="D3263">
        <v>2284</v>
      </c>
    </row>
    <row r="3264" spans="1:4" x14ac:dyDescent="0.25">
      <c r="A3264" t="str">
        <f>T("   853690")</f>
        <v xml:space="preserve">   853690</v>
      </c>
      <c r="B3264" t="s">
        <v>467</v>
      </c>
      <c r="C3264">
        <v>214499</v>
      </c>
      <c r="D3264">
        <v>128</v>
      </c>
    </row>
    <row r="3265" spans="1:4" x14ac:dyDescent="0.25">
      <c r="A3265" t="str">
        <f>T("   940320")</f>
        <v xml:space="preserve">   940320</v>
      </c>
      <c r="B3265"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3265">
        <v>7216</v>
      </c>
      <c r="D3265">
        <v>4</v>
      </c>
    </row>
    <row r="3266" spans="1:4" x14ac:dyDescent="0.25">
      <c r="A3266" t="str">
        <f>T("EE")</f>
        <v>EE</v>
      </c>
      <c r="B3266" t="str">
        <f>T("Estonie")</f>
        <v>Estonie</v>
      </c>
    </row>
    <row r="3267" spans="1:4" x14ac:dyDescent="0.25">
      <c r="A3267" t="str">
        <f>T("   ZZ_Total_Produit_SH6")</f>
        <v xml:space="preserve">   ZZ_Total_Produit_SH6</v>
      </c>
      <c r="B3267" t="str">
        <f>T("   ZZ_Total_Produit_SH6")</f>
        <v xml:space="preserve">   ZZ_Total_Produit_SH6</v>
      </c>
      <c r="C3267">
        <v>274050000</v>
      </c>
      <c r="D3267">
        <v>630000</v>
      </c>
    </row>
    <row r="3268" spans="1:4" x14ac:dyDescent="0.25">
      <c r="A3268" t="str">
        <f>T("   310210")</f>
        <v xml:space="preserve">   310210</v>
      </c>
      <c r="B3268" t="str">
        <f>T("   Urée, même en solution aqueuse (à l'excl. des produits présentés soit en tablettes ou formes simil., soit en emballages d'un poids brut &lt;= 10 kg)")</f>
        <v xml:space="preserve">   Urée, même en solution aqueuse (à l'excl. des produits présentés soit en tablettes ou formes simil., soit en emballages d'un poids brut &lt;= 10 kg)</v>
      </c>
      <c r="C3268">
        <v>274050000</v>
      </c>
      <c r="D3268">
        <v>630000</v>
      </c>
    </row>
    <row r="3269" spans="1:4" x14ac:dyDescent="0.25">
      <c r="A3269" t="str">
        <f>T("EG")</f>
        <v>EG</v>
      </c>
      <c r="B3269" t="str">
        <f>T("Egypte")</f>
        <v>Egypte</v>
      </c>
    </row>
    <row r="3270" spans="1:4" x14ac:dyDescent="0.25">
      <c r="A3270" t="str">
        <f>T("   ZZ_Total_Produit_SH6")</f>
        <v xml:space="preserve">   ZZ_Total_Produit_SH6</v>
      </c>
      <c r="B3270" t="str">
        <f>T("   ZZ_Total_Produit_SH6")</f>
        <v xml:space="preserve">   ZZ_Total_Produit_SH6</v>
      </c>
      <c r="C3270">
        <v>693111015</v>
      </c>
      <c r="D3270">
        <v>3231819</v>
      </c>
    </row>
    <row r="3271" spans="1:4" x14ac:dyDescent="0.25">
      <c r="A3271" t="str">
        <f>T("   070990")</f>
        <v xml:space="preserve">   070990</v>
      </c>
      <c r="B3271" t="s">
        <v>19</v>
      </c>
      <c r="C3271">
        <v>1816</v>
      </c>
      <c r="D3271">
        <v>480</v>
      </c>
    </row>
    <row r="3272" spans="1:4" x14ac:dyDescent="0.25">
      <c r="A3272" t="str">
        <f>T("   080610")</f>
        <v xml:space="preserve">   080610</v>
      </c>
      <c r="B3272" t="str">
        <f>T("   Raisins, frais")</f>
        <v xml:space="preserve">   Raisins, frais</v>
      </c>
      <c r="C3272">
        <v>14001467</v>
      </c>
      <c r="D3272">
        <v>32850</v>
      </c>
    </row>
    <row r="3273" spans="1:4" x14ac:dyDescent="0.25">
      <c r="A3273" t="str">
        <f>T("   150790")</f>
        <v xml:space="preserve">   150790</v>
      </c>
      <c r="B3273" t="str">
        <f>T("   Huile de soja et ses fractions, même raffinées, mais non chimiquement modifiées (à l'excl. de l'huile de soja brute)")</f>
        <v xml:space="preserve">   Huile de soja et ses fractions, même raffinées, mais non chimiquement modifiées (à l'excl. de l'huile de soja brute)</v>
      </c>
      <c r="C3273">
        <v>7332000</v>
      </c>
      <c r="D3273">
        <v>29328</v>
      </c>
    </row>
    <row r="3274" spans="1:4" x14ac:dyDescent="0.25">
      <c r="A3274" t="str">
        <f>T("   151219")</f>
        <v xml:space="preserve">   151219</v>
      </c>
      <c r="B3274"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3274">
        <v>4400000</v>
      </c>
      <c r="D3274">
        <v>13846</v>
      </c>
    </row>
    <row r="3275" spans="1:4" x14ac:dyDescent="0.25">
      <c r="A3275" t="str">
        <f>T("   151590")</f>
        <v xml:space="preserve">   151590</v>
      </c>
      <c r="B3275" t="s">
        <v>36</v>
      </c>
      <c r="C3275">
        <v>4400000</v>
      </c>
      <c r="D3275">
        <v>16108</v>
      </c>
    </row>
    <row r="3276" spans="1:4" x14ac:dyDescent="0.25">
      <c r="A3276" t="str">
        <f>T("   190230")</f>
        <v xml:space="preserve">   190230</v>
      </c>
      <c r="B3276" t="str">
        <f>T("   Pâtes alimentaires, cuites ou autrement préparées (à l'excl. des pâtes alimentaires farcies)")</f>
        <v xml:space="preserve">   Pâtes alimentaires, cuites ou autrement préparées (à l'excl. des pâtes alimentaires farcies)</v>
      </c>
      <c r="C3276">
        <v>1187829</v>
      </c>
      <c r="D3276">
        <v>4860</v>
      </c>
    </row>
    <row r="3277" spans="1:4" x14ac:dyDescent="0.25">
      <c r="A3277" t="str">
        <f>T("   190590")</f>
        <v xml:space="preserve">   190590</v>
      </c>
      <c r="B3277" t="s">
        <v>52</v>
      </c>
      <c r="C3277">
        <v>1552160</v>
      </c>
      <c r="D3277">
        <v>6911</v>
      </c>
    </row>
    <row r="3278" spans="1:4" x14ac:dyDescent="0.25">
      <c r="A3278" t="str">
        <f>T("   200919")</f>
        <v xml:space="preserve">   200919</v>
      </c>
      <c r="B3278"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3278">
        <v>1474480</v>
      </c>
      <c r="D3278">
        <v>7523</v>
      </c>
    </row>
    <row r="3279" spans="1:4" x14ac:dyDescent="0.25">
      <c r="A3279" t="str">
        <f>T("   200969")</f>
        <v xml:space="preserve">   200969</v>
      </c>
      <c r="B3279"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3279">
        <v>356157</v>
      </c>
      <c r="D3279">
        <v>1720</v>
      </c>
    </row>
    <row r="3280" spans="1:4" x14ac:dyDescent="0.25">
      <c r="A3280" t="str">
        <f>T("   200979")</f>
        <v xml:space="preserve">   200979</v>
      </c>
      <c r="B3280"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3280">
        <v>1490778</v>
      </c>
      <c r="D3280">
        <v>7810</v>
      </c>
    </row>
    <row r="3281" spans="1:4" x14ac:dyDescent="0.25">
      <c r="A3281" t="str">
        <f>T("   200980")</f>
        <v xml:space="preserve">   200980</v>
      </c>
      <c r="B3281"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281">
        <v>6778869</v>
      </c>
      <c r="D3281">
        <v>33464</v>
      </c>
    </row>
    <row r="3282" spans="1:4" x14ac:dyDescent="0.25">
      <c r="A3282" t="str">
        <f>T("   200990")</f>
        <v xml:space="preserve">   200990</v>
      </c>
      <c r="B3282"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3282">
        <v>3218815</v>
      </c>
      <c r="D3282">
        <v>21728</v>
      </c>
    </row>
    <row r="3283" spans="1:4" x14ac:dyDescent="0.25">
      <c r="A3283" t="str">
        <f>T("   210690")</f>
        <v xml:space="preserve">   210690</v>
      </c>
      <c r="B3283" t="str">
        <f>T("   Préparations alimentaires, n.d.a.")</f>
        <v xml:space="preserve">   Préparations alimentaires, n.d.a.</v>
      </c>
      <c r="C3283">
        <v>230094369</v>
      </c>
      <c r="D3283">
        <v>11674</v>
      </c>
    </row>
    <row r="3284" spans="1:4" x14ac:dyDescent="0.25">
      <c r="A3284" t="str">
        <f>T("   220210")</f>
        <v xml:space="preserve">   220210</v>
      </c>
      <c r="B3284"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3284">
        <v>1395180</v>
      </c>
      <c r="D3284">
        <v>5759</v>
      </c>
    </row>
    <row r="3285" spans="1:4" x14ac:dyDescent="0.25">
      <c r="A3285" t="str">
        <f>T("   220290")</f>
        <v xml:space="preserve">   220290</v>
      </c>
      <c r="B3285" t="str">
        <f>T("   BOISSONS NON-ALCOOLIQUES (À L'EXCL. DES EAUX, DES JUS DE FRUITS OU DE LÉGUMES AINSI QUE DU LAIT)")</f>
        <v xml:space="preserve">   BOISSONS NON-ALCOOLIQUES (À L'EXCL. DES EAUX, DES JUS DE FRUITS OU DE LÉGUMES AINSI QUE DU LAIT)</v>
      </c>
      <c r="C3285">
        <v>3562529</v>
      </c>
      <c r="D3285">
        <v>15874</v>
      </c>
    </row>
    <row r="3286" spans="1:4" x14ac:dyDescent="0.25">
      <c r="A3286" t="str">
        <f>T("   240310")</f>
        <v xml:space="preserve">   240310</v>
      </c>
      <c r="B3286" t="str">
        <f>T("   Tabac à fumer, même contenant des succédanés de tabac en toute proportion")</f>
        <v xml:space="preserve">   Tabac à fumer, même contenant des succédanés de tabac en toute proportion</v>
      </c>
      <c r="C3286">
        <v>1783179</v>
      </c>
      <c r="D3286">
        <v>2859</v>
      </c>
    </row>
    <row r="3287" spans="1:4" x14ac:dyDescent="0.25">
      <c r="A3287" t="str">
        <f>T("   250100")</f>
        <v xml:space="preserve">   250100</v>
      </c>
      <c r="B3287" t="s">
        <v>65</v>
      </c>
      <c r="C3287">
        <v>13556242</v>
      </c>
      <c r="D3287">
        <v>268900</v>
      </c>
    </row>
    <row r="3288" spans="1:4" x14ac:dyDescent="0.25">
      <c r="A3288" t="str">
        <f>T("   251512")</f>
        <v xml:space="preserve">   251512</v>
      </c>
      <c r="B3288" t="str">
        <f>T("   MARBRES ET TRAVERTINS, SIMPL. DÉBITÉS, PAR SCIAGE OU AUTREMENT, EN BLOCS OU EN PLAQUES DE FORME CARRÉE OU RECTANGULAIRE")</f>
        <v xml:space="preserve">   MARBRES ET TRAVERTINS, SIMPL. DÉBITÉS, PAR SCIAGE OU AUTREMENT, EN BLOCS OU EN PLAQUES DE FORME CARRÉE OU RECTANGULAIRE</v>
      </c>
      <c r="C3288">
        <v>7502690</v>
      </c>
      <c r="D3288">
        <v>38566</v>
      </c>
    </row>
    <row r="3289" spans="1:4" x14ac:dyDescent="0.25">
      <c r="A3289" t="str">
        <f>T("   252020")</f>
        <v xml:space="preserve">   252020</v>
      </c>
      <c r="B3289" t="str">
        <f>T("   Plâtres, même colorés ou additionnés de faibles quantités d'accélérateurs ou de retardateurs")</f>
        <v xml:space="preserve">   Plâtres, même colorés ou additionnés de faibles quantités d'accélérateurs ou de retardateurs</v>
      </c>
      <c r="C3289">
        <v>94606797</v>
      </c>
      <c r="D3289">
        <v>2075420</v>
      </c>
    </row>
    <row r="3290" spans="1:4" x14ac:dyDescent="0.25">
      <c r="A3290" t="str">
        <f>T("   252321")</f>
        <v xml:space="preserve">   252321</v>
      </c>
      <c r="B3290" t="str">
        <f>T("   Ciments Portland blancs, même colorés artificiellement")</f>
        <v xml:space="preserve">   Ciments Portland blancs, même colorés artificiellement</v>
      </c>
      <c r="C3290">
        <v>3672550</v>
      </c>
      <c r="D3290">
        <v>56070</v>
      </c>
    </row>
    <row r="3291" spans="1:4" x14ac:dyDescent="0.25">
      <c r="A3291" t="str">
        <f>T("   283650")</f>
        <v xml:space="preserve">   283650</v>
      </c>
      <c r="B3291" t="str">
        <f>T("   Carbonate de calcium")</f>
        <v xml:space="preserve">   Carbonate de calcium</v>
      </c>
      <c r="C3291">
        <v>17016966</v>
      </c>
      <c r="D3291">
        <v>280392</v>
      </c>
    </row>
    <row r="3292" spans="1:4" x14ac:dyDescent="0.25">
      <c r="A3292" t="str">
        <f>T("   320419")</f>
        <v xml:space="preserve">   320419</v>
      </c>
      <c r="B3292" t="s">
        <v>88</v>
      </c>
      <c r="C3292">
        <v>103641</v>
      </c>
      <c r="D3292">
        <v>410</v>
      </c>
    </row>
    <row r="3293" spans="1:4" x14ac:dyDescent="0.25">
      <c r="A3293" t="str">
        <f>T("   320820")</f>
        <v xml:space="preserve">   320820</v>
      </c>
      <c r="B3293" t="s">
        <v>92</v>
      </c>
      <c r="C3293">
        <v>4380000</v>
      </c>
      <c r="D3293">
        <v>9325</v>
      </c>
    </row>
    <row r="3294" spans="1:4" x14ac:dyDescent="0.25">
      <c r="A3294" t="str">
        <f>T("   320990")</f>
        <v xml:space="preserve">   320990</v>
      </c>
      <c r="B3294"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3294">
        <v>2512466</v>
      </c>
      <c r="D3294">
        <v>14865</v>
      </c>
    </row>
    <row r="3295" spans="1:4" x14ac:dyDescent="0.25">
      <c r="A3295" t="str">
        <f>T("   340290")</f>
        <v xml:space="preserve">   340290</v>
      </c>
      <c r="B3295" t="s">
        <v>101</v>
      </c>
      <c r="C3295">
        <v>348315</v>
      </c>
      <c r="D3295">
        <v>1378</v>
      </c>
    </row>
    <row r="3296" spans="1:4" x14ac:dyDescent="0.25">
      <c r="A3296" t="str">
        <f>T("   350699")</f>
        <v xml:space="preserve">   350699</v>
      </c>
      <c r="B3296" t="str">
        <f>T("   Colles et autres adhésifs préparés, n.d.a.")</f>
        <v xml:space="preserve">   Colles et autres adhésifs préparés, n.d.a.</v>
      </c>
      <c r="C3296">
        <v>2287989</v>
      </c>
      <c r="D3296">
        <v>9212</v>
      </c>
    </row>
    <row r="3297" spans="1:4" x14ac:dyDescent="0.25">
      <c r="A3297" t="str">
        <f>T("   382200")</f>
        <v xml:space="preserve">   382200</v>
      </c>
      <c r="B3297" t="s">
        <v>122</v>
      </c>
      <c r="C3297">
        <v>1356525</v>
      </c>
      <c r="D3297">
        <v>241</v>
      </c>
    </row>
    <row r="3298" spans="1:4" x14ac:dyDescent="0.25">
      <c r="A3298" t="str">
        <f>T("   390319")</f>
        <v xml:space="preserve">   390319</v>
      </c>
      <c r="B3298" t="str">
        <f>T("   Polystyrène sous formes primaires (à l'excl. du polystyrène expansible)")</f>
        <v xml:space="preserve">   Polystyrène sous formes primaires (à l'excl. du polystyrène expansible)</v>
      </c>
      <c r="C3298">
        <v>25747086</v>
      </c>
      <c r="D3298">
        <v>19890</v>
      </c>
    </row>
    <row r="3299" spans="1:4" x14ac:dyDescent="0.25">
      <c r="A3299" t="str">
        <f>T("   390690")</f>
        <v xml:space="preserve">   390690</v>
      </c>
      <c r="B3299" t="str">
        <f>T("   Polymères acryliques, sous formes primaires (à l'excl. du poly[méthacrylate de méthyle])")</f>
        <v xml:space="preserve">   Polymères acryliques, sous formes primaires (à l'excl. du poly[méthacrylate de méthyle])</v>
      </c>
      <c r="C3299">
        <v>1658267</v>
      </c>
      <c r="D3299">
        <v>1872</v>
      </c>
    </row>
    <row r="3300" spans="1:4" x14ac:dyDescent="0.25">
      <c r="A3300" t="str">
        <f>T("   390750")</f>
        <v xml:space="preserve">   390750</v>
      </c>
      <c r="B3300" t="str">
        <f>T("   Résines alkydes, sous formes primaires")</f>
        <v xml:space="preserve">   Résines alkydes, sous formes primaires</v>
      </c>
      <c r="C3300">
        <v>29833307</v>
      </c>
      <c r="D3300">
        <v>35025</v>
      </c>
    </row>
    <row r="3301" spans="1:4" x14ac:dyDescent="0.25">
      <c r="A3301" t="str">
        <f>T("   392020")</f>
        <v xml:space="preserve">   392020</v>
      </c>
      <c r="B3301" t="s">
        <v>129</v>
      </c>
      <c r="C3301">
        <v>91139764</v>
      </c>
      <c r="D3301">
        <v>44932</v>
      </c>
    </row>
    <row r="3302" spans="1:4" x14ac:dyDescent="0.25">
      <c r="A3302" t="str">
        <f>T("   392220")</f>
        <v xml:space="preserve">   392220</v>
      </c>
      <c r="B3302" t="str">
        <f>T("   Sièges et couvercles de cuvettes d'aisance, en matières plastiques")</f>
        <v xml:space="preserve">   Sièges et couvercles de cuvettes d'aisance, en matières plastiques</v>
      </c>
      <c r="C3302">
        <v>4858648</v>
      </c>
      <c r="D3302">
        <v>6826</v>
      </c>
    </row>
    <row r="3303" spans="1:4" x14ac:dyDescent="0.25">
      <c r="A3303" t="str">
        <f>T("   392290")</f>
        <v xml:space="preserve">   392290</v>
      </c>
      <c r="B3303"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3303">
        <v>884890</v>
      </c>
      <c r="D3303">
        <v>2281</v>
      </c>
    </row>
    <row r="3304" spans="1:4" x14ac:dyDescent="0.25">
      <c r="A3304" t="str">
        <f>T("   490199")</f>
        <v xml:space="preserve">   490199</v>
      </c>
      <c r="B330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304">
        <v>1438051</v>
      </c>
      <c r="D3304">
        <v>14000</v>
      </c>
    </row>
    <row r="3305" spans="1:4" x14ac:dyDescent="0.25">
      <c r="A3305" t="str">
        <f>T("   570500")</f>
        <v xml:space="preserve">   570500</v>
      </c>
      <c r="B3305"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3305">
        <v>2241920</v>
      </c>
      <c r="D3305">
        <v>8800</v>
      </c>
    </row>
    <row r="3306" spans="1:4" x14ac:dyDescent="0.25">
      <c r="A3306" t="str">
        <f>T("   610990")</f>
        <v xml:space="preserve">   610990</v>
      </c>
      <c r="B3306" t="str">
        <f>T("   T-shirts et maillots de corps, en bonneterie, de matières textiles (sauf de coton)")</f>
        <v xml:space="preserve">   T-shirts et maillots de corps, en bonneterie, de matières textiles (sauf de coton)</v>
      </c>
      <c r="C3306">
        <v>61004</v>
      </c>
      <c r="D3306">
        <v>100</v>
      </c>
    </row>
    <row r="3307" spans="1:4" x14ac:dyDescent="0.25">
      <c r="A3307" t="str">
        <f>T("   611490")</f>
        <v xml:space="preserve">   611490</v>
      </c>
      <c r="B3307"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3307">
        <v>3032847</v>
      </c>
      <c r="D3307">
        <v>3800</v>
      </c>
    </row>
    <row r="3308" spans="1:4" x14ac:dyDescent="0.25">
      <c r="A3308" t="str">
        <f>T("   620590")</f>
        <v xml:space="preserve">   620590</v>
      </c>
      <c r="B330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308">
        <v>5500225</v>
      </c>
      <c r="D3308">
        <v>6000</v>
      </c>
    </row>
    <row r="3309" spans="1:4" x14ac:dyDescent="0.25">
      <c r="A3309" t="str">
        <f>T("   691090")</f>
        <v xml:space="preserve">   691090</v>
      </c>
      <c r="B3309" t="s">
        <v>310</v>
      </c>
      <c r="C3309">
        <v>28888698</v>
      </c>
      <c r="D3309">
        <v>61407</v>
      </c>
    </row>
    <row r="3310" spans="1:4" x14ac:dyDescent="0.25">
      <c r="A3310" t="str">
        <f>T("   732111")</f>
        <v xml:space="preserve">   732111</v>
      </c>
      <c r="B3310" t="s">
        <v>356</v>
      </c>
      <c r="C3310">
        <v>7555630</v>
      </c>
      <c r="D3310">
        <v>8220</v>
      </c>
    </row>
    <row r="3311" spans="1:4" x14ac:dyDescent="0.25">
      <c r="A3311" t="str">
        <f>T("   761519")</f>
        <v xml:space="preserve">   761519</v>
      </c>
      <c r="B3311" t="s">
        <v>373</v>
      </c>
      <c r="C3311">
        <v>581883</v>
      </c>
      <c r="D3311">
        <v>1330</v>
      </c>
    </row>
    <row r="3312" spans="1:4" x14ac:dyDescent="0.25">
      <c r="A3312" t="str">
        <f>T("   841510")</f>
        <v xml:space="preserve">   841510</v>
      </c>
      <c r="B3312" t="s">
        <v>400</v>
      </c>
      <c r="C3312">
        <v>19950859</v>
      </c>
      <c r="D3312">
        <v>11600</v>
      </c>
    </row>
    <row r="3313" spans="1:4" x14ac:dyDescent="0.25">
      <c r="A3313" t="str">
        <f>T("   841590")</f>
        <v xml:space="preserve">   841590</v>
      </c>
      <c r="B3313"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3313">
        <v>5436</v>
      </c>
      <c r="D3313">
        <v>25</v>
      </c>
    </row>
    <row r="3314" spans="1:4" x14ac:dyDescent="0.25">
      <c r="A3314" t="str">
        <f>T("   842121")</f>
        <v xml:space="preserve">   842121</v>
      </c>
      <c r="B3314" t="str">
        <f>T("   Appareils pour la filtration ou l'épuration des eaux")</f>
        <v xml:space="preserve">   Appareils pour la filtration ou l'épuration des eaux</v>
      </c>
      <c r="C3314">
        <v>616444</v>
      </c>
      <c r="D3314">
        <v>2540</v>
      </c>
    </row>
    <row r="3315" spans="1:4" x14ac:dyDescent="0.25">
      <c r="A3315" t="str">
        <f>T("   847990")</f>
        <v xml:space="preserve">   847990</v>
      </c>
      <c r="B3315" t="str">
        <f>T("   Parties de machines et appareils, y.c. les appareils mécaniques, n.d.a.")</f>
        <v xml:space="preserve">   Parties de machines et appareils, y.c. les appareils mécaniques, n.d.a.</v>
      </c>
      <c r="C3315">
        <v>245985</v>
      </c>
      <c r="D3315">
        <v>434</v>
      </c>
    </row>
    <row r="3316" spans="1:4" x14ac:dyDescent="0.25">
      <c r="A3316" t="str">
        <f>T("   848180")</f>
        <v xml:space="preserve">   848180</v>
      </c>
      <c r="B3316"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316">
        <v>15087</v>
      </c>
      <c r="D3316">
        <v>36</v>
      </c>
    </row>
    <row r="3317" spans="1:4" x14ac:dyDescent="0.25">
      <c r="A3317" t="str">
        <f>T("   851610")</f>
        <v xml:space="preserve">   851610</v>
      </c>
      <c r="B3317" t="str">
        <f>T("   Chauffe-eau et thermoplongeurs électriques")</f>
        <v xml:space="preserve">   Chauffe-eau et thermoplongeurs électriques</v>
      </c>
      <c r="C3317">
        <v>5879708</v>
      </c>
      <c r="D3317">
        <v>3116</v>
      </c>
    </row>
    <row r="3318" spans="1:4" x14ac:dyDescent="0.25">
      <c r="A3318" t="str">
        <f>T("   903290")</f>
        <v xml:space="preserve">   903290</v>
      </c>
      <c r="B3318" t="str">
        <f>T("   Parties et accessoires des instruments et appareils pour la régulation ou le contrôle automatiques, n.d.a.")</f>
        <v xml:space="preserve">   Parties et accessoires des instruments et appareils pour la régulation ou le contrôle automatiques, n.d.a.</v>
      </c>
      <c r="C3318">
        <v>3577018</v>
      </c>
      <c r="D3318">
        <v>51</v>
      </c>
    </row>
    <row r="3319" spans="1:4" x14ac:dyDescent="0.25">
      <c r="A3319" t="str">
        <f>T("   940161")</f>
        <v xml:space="preserve">   940161</v>
      </c>
      <c r="B3319" t="str">
        <f>T("   Sièges, avec bâti en bois, rembourrés (non transformables en lits)")</f>
        <v xml:space="preserve">   Sièges, avec bâti en bois, rembourrés (non transformables en lits)</v>
      </c>
      <c r="C3319">
        <v>304867</v>
      </c>
      <c r="D3319">
        <v>329</v>
      </c>
    </row>
    <row r="3320" spans="1:4" x14ac:dyDescent="0.25">
      <c r="A3320" t="str">
        <f>T("   940169")</f>
        <v xml:space="preserve">   940169</v>
      </c>
      <c r="B3320" t="str">
        <f>T("   Sièges, avec bâti en bois, non rembourrés")</f>
        <v xml:space="preserve">   Sièges, avec bâti en bois, non rembourrés</v>
      </c>
      <c r="C3320">
        <v>6685974</v>
      </c>
      <c r="D3320">
        <v>6894</v>
      </c>
    </row>
    <row r="3321" spans="1:4" x14ac:dyDescent="0.25">
      <c r="A3321" t="str">
        <f>T("   940171")</f>
        <v xml:space="preserve">   940171</v>
      </c>
      <c r="B3321"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3321">
        <v>3453717</v>
      </c>
      <c r="D3321">
        <v>6000</v>
      </c>
    </row>
    <row r="3322" spans="1:4" x14ac:dyDescent="0.25">
      <c r="A3322" t="str">
        <f>T("   940330")</f>
        <v xml:space="preserve">   940330</v>
      </c>
      <c r="B3322" t="str">
        <f>T("   Meubles de bureau en bois (sauf sièges)")</f>
        <v xml:space="preserve">   Meubles de bureau en bois (sauf sièges)</v>
      </c>
      <c r="C3322">
        <v>543583</v>
      </c>
      <c r="D3322">
        <v>510</v>
      </c>
    </row>
    <row r="3323" spans="1:4" x14ac:dyDescent="0.25">
      <c r="A3323" t="str">
        <f>T("   940350")</f>
        <v xml:space="preserve">   940350</v>
      </c>
      <c r="B3323" t="str">
        <f>T("   Meubles pour chambres à coucher, en bois (sauf sièges)")</f>
        <v xml:space="preserve">   Meubles pour chambres à coucher, en bois (sauf sièges)</v>
      </c>
      <c r="C3323">
        <v>1642253</v>
      </c>
      <c r="D3323">
        <v>1660</v>
      </c>
    </row>
    <row r="3324" spans="1:4" x14ac:dyDescent="0.25">
      <c r="A3324" t="str">
        <f>T("   940360")</f>
        <v xml:space="preserve">   940360</v>
      </c>
      <c r="B3324" t="str">
        <f>T("   Meubles en bois (autres que pour bureaux, cuisines ou chambres à coucher et autres que sièges)")</f>
        <v xml:space="preserve">   Meubles en bois (autres que pour bureaux, cuisines ou chambres à coucher et autres que sièges)</v>
      </c>
      <c r="C3324">
        <v>15394055</v>
      </c>
      <c r="D3324">
        <v>15568</v>
      </c>
    </row>
    <row r="3325" spans="1:4" x14ac:dyDescent="0.25">
      <c r="A3325" t="str">
        <f>T("   940380")</f>
        <v xml:space="preserve">   940380</v>
      </c>
      <c r="B3325" t="str">
        <f>T("   Meubles en rotin, osier, bambou ou autres matières (sauf métal, bois et matières plastiques)")</f>
        <v xml:space="preserve">   Meubles en rotin, osier, bambou ou autres matières (sauf métal, bois et matières plastiques)</v>
      </c>
      <c r="C3325">
        <v>1000000</v>
      </c>
      <c r="D3325">
        <v>1000</v>
      </c>
    </row>
    <row r="3326" spans="1:4" x14ac:dyDescent="0.25">
      <c r="A3326" t="str">
        <f>T("ES")</f>
        <v>ES</v>
      </c>
      <c r="B3326" t="str">
        <f>T("Espagne")</f>
        <v>Espagne</v>
      </c>
    </row>
    <row r="3327" spans="1:4" x14ac:dyDescent="0.25">
      <c r="A3327" t="str">
        <f>T("   ZZ_Total_Produit_SH6")</f>
        <v xml:space="preserve">   ZZ_Total_Produit_SH6</v>
      </c>
      <c r="B3327" t="str">
        <f>T("   ZZ_Total_Produit_SH6")</f>
        <v xml:space="preserve">   ZZ_Total_Produit_SH6</v>
      </c>
      <c r="C3327">
        <v>19391887471</v>
      </c>
      <c r="D3327">
        <v>130665618.25</v>
      </c>
    </row>
    <row r="3328" spans="1:4" x14ac:dyDescent="0.25">
      <c r="A3328" t="str">
        <f>T("   020230")</f>
        <v xml:space="preserve">   020230</v>
      </c>
      <c r="B3328" t="str">
        <f>T("   Viandes désossées de bovins, congelées")</f>
        <v xml:space="preserve">   Viandes désossées de bovins, congelées</v>
      </c>
      <c r="C3328">
        <v>2251255</v>
      </c>
      <c r="D3328">
        <v>3751</v>
      </c>
    </row>
    <row r="3329" spans="1:4" x14ac:dyDescent="0.25">
      <c r="A3329" t="str">
        <f>T("   020312")</f>
        <v xml:space="preserve">   020312</v>
      </c>
      <c r="B3329" t="str">
        <f>T("   JAMBONS, ÉPAULES ET LEURS MORCEAUX, NON-DÉSOSSÉS, DE PORCINS, FRAIS OU RÉFRIGÉRÉS")</f>
        <v xml:space="preserve">   JAMBONS, ÉPAULES ET LEURS MORCEAUX, NON-DÉSOSSÉS, DE PORCINS, FRAIS OU RÉFRIGÉRÉS</v>
      </c>
      <c r="C3329">
        <v>20419771</v>
      </c>
      <c r="D3329">
        <v>23123</v>
      </c>
    </row>
    <row r="3330" spans="1:4" x14ac:dyDescent="0.25">
      <c r="A3330" t="str">
        <f>T("   020329")</f>
        <v xml:space="preserve">   020329</v>
      </c>
      <c r="B3330" t="str">
        <f>T("   VIANDES DES ANIMAUX DE L'ESPÈCE PORCINE, CONGELÉES (À L'EXCL. DES CARCASSES OU DEMI-CARCASSES ET DES JAMBONS, ÉPAULES ET LEURS MORCEAUX, NON-DÉSOSSÉS)")</f>
        <v xml:space="preserve">   VIANDES DES ANIMAUX DE L'ESPÈCE PORCINE, CONGELÉES (À L'EXCL. DES CARCASSES OU DEMI-CARCASSES ET DES JAMBONS, ÉPAULES ET LEURS MORCEAUX, NON-DÉSOSSÉS)</v>
      </c>
      <c r="C3330">
        <v>5999411</v>
      </c>
      <c r="D3330">
        <v>9998</v>
      </c>
    </row>
    <row r="3331" spans="1:4" x14ac:dyDescent="0.25">
      <c r="A3331" t="str">
        <f>T("   020629")</f>
        <v xml:space="preserve">   020629</v>
      </c>
      <c r="B3331" t="str">
        <f>T("   Abats comestibles de bovins, congelés (à l'excl. des langues et des foies)")</f>
        <v xml:space="preserve">   Abats comestibles de bovins, congelés (à l'excl. des langues et des foies)</v>
      </c>
      <c r="C3331">
        <v>4000000</v>
      </c>
      <c r="D3331">
        <v>26910</v>
      </c>
    </row>
    <row r="3332" spans="1:4" x14ac:dyDescent="0.25">
      <c r="A3332" t="str">
        <f>T("   020680")</f>
        <v xml:space="preserve">   020680</v>
      </c>
      <c r="B3332" t="str">
        <f>T("   Abats comestibles des animaux des espèces ovine, caprine, chevaline, asine ou mulassière, frais ou réfrigérés")</f>
        <v xml:space="preserve">   Abats comestibles des animaux des espèces ovine, caprine, chevaline, asine ou mulassière, frais ou réfrigérés</v>
      </c>
      <c r="C3332">
        <v>11240784</v>
      </c>
      <c r="D3332">
        <v>18072</v>
      </c>
    </row>
    <row r="3333" spans="1:4" x14ac:dyDescent="0.25">
      <c r="A3333" t="str">
        <f>T("   020712")</f>
        <v xml:space="preserve">   020712</v>
      </c>
      <c r="B3333" t="str">
        <f>T("   COQS ET POULES [DES ESPÈCES DOMESTIQUES], NON-DÉCOUPÉS EN MORCEAUX, CONGELÉS")</f>
        <v xml:space="preserve">   COQS ET POULES [DES ESPÈCES DOMESTIQUES], NON-DÉCOUPÉS EN MORCEAUX, CONGELÉS</v>
      </c>
      <c r="C3333">
        <v>5953031258</v>
      </c>
      <c r="D3333">
        <v>9866600</v>
      </c>
    </row>
    <row r="3334" spans="1:4" x14ac:dyDescent="0.25">
      <c r="A3334" t="str">
        <f>T("   020714")</f>
        <v xml:space="preserve">   020714</v>
      </c>
      <c r="B3334" t="str">
        <f>T("   Morceaux et abats comestibles de coqs et de poules [des espèces domestiques], congelés")</f>
        <v xml:space="preserve">   Morceaux et abats comestibles de coqs et de poules [des espèces domestiques], congelés</v>
      </c>
      <c r="C3334">
        <v>2482075597</v>
      </c>
      <c r="D3334">
        <v>4139366</v>
      </c>
    </row>
    <row r="3335" spans="1:4" x14ac:dyDescent="0.25">
      <c r="A3335" t="str">
        <f>T("   020725")</f>
        <v xml:space="preserve">   020725</v>
      </c>
      <c r="B3335" t="str">
        <f>T("   DINDES ET DINDONS [DES ESPÈCES DOMESTIQUES], NON-DÉCOUPÉS EN MORCEAUX, CONGELÉS")</f>
        <v xml:space="preserve">   DINDES ET DINDONS [DES ESPÈCES DOMESTIQUES], NON-DÉCOUPÉS EN MORCEAUX, CONGELÉS</v>
      </c>
      <c r="C3335">
        <v>1262723</v>
      </c>
      <c r="D3335">
        <v>2028</v>
      </c>
    </row>
    <row r="3336" spans="1:4" x14ac:dyDescent="0.25">
      <c r="A3336" t="str">
        <f>T("   020726")</f>
        <v xml:space="preserve">   020726</v>
      </c>
      <c r="B3336" t="str">
        <f>T("   Morceaux et abats comestibles de dindes et dindons [des espèces domestiques], frais ou réfrigérés")</f>
        <v xml:space="preserve">   Morceaux et abats comestibles de dindes et dindons [des espèces domestiques], frais ou réfrigérés</v>
      </c>
      <c r="C3336">
        <v>549694</v>
      </c>
      <c r="D3336">
        <v>849</v>
      </c>
    </row>
    <row r="3337" spans="1:4" x14ac:dyDescent="0.25">
      <c r="A3337" t="str">
        <f>T("   020727")</f>
        <v xml:space="preserve">   020727</v>
      </c>
      <c r="B3337" t="str">
        <f>T("   Morceaux et abats comestibles de dindes et dindons [des espèces domestiques], congelés")</f>
        <v xml:space="preserve">   Morceaux et abats comestibles de dindes et dindons [des espèces domestiques], congelés</v>
      </c>
      <c r="C3337">
        <v>2279354997</v>
      </c>
      <c r="D3337">
        <v>3741392</v>
      </c>
    </row>
    <row r="3338" spans="1:4" x14ac:dyDescent="0.25">
      <c r="A3338" t="str">
        <f>T("   020733")</f>
        <v xml:space="preserve">   020733</v>
      </c>
      <c r="B3338" t="str">
        <f>T("   CANARDS, OIES OU PINTADES [DES ESPÈCES DOMESTIQUES], NON-DÉCOUPÉS EN MORCEAUX, CONGELÉS")</f>
        <v xml:space="preserve">   CANARDS, OIES OU PINTADES [DES ESPÈCES DOMESTIQUES], NON-DÉCOUPÉS EN MORCEAUX, CONGELÉS</v>
      </c>
      <c r="C3338">
        <v>344379</v>
      </c>
      <c r="D3338">
        <v>554</v>
      </c>
    </row>
    <row r="3339" spans="1:4" x14ac:dyDescent="0.25">
      <c r="A3339" t="str">
        <f>T("   021012")</f>
        <v xml:space="preserve">   021012</v>
      </c>
      <c r="B3339" t="str">
        <f>T("   Poitrines [entrelardés] et morceaux de poitrines, de porcins, salés ou en saumure, séchés ou fumés")</f>
        <v xml:space="preserve">   Poitrines [entrelardés] et morceaux de poitrines, de porcins, salés ou en saumure, séchés ou fumés</v>
      </c>
      <c r="C3339">
        <v>11285792</v>
      </c>
      <c r="D3339">
        <v>7861</v>
      </c>
    </row>
    <row r="3340" spans="1:4" x14ac:dyDescent="0.25">
      <c r="A3340" t="str">
        <f>T("   021099")</f>
        <v xml:space="preserve">   021099</v>
      </c>
      <c r="B3340" t="s">
        <v>14</v>
      </c>
      <c r="C3340">
        <v>4250621</v>
      </c>
      <c r="D3340">
        <v>6829</v>
      </c>
    </row>
    <row r="3341" spans="1:4" x14ac:dyDescent="0.25">
      <c r="A3341" t="str">
        <f>T("   030199")</f>
        <v xml:space="preserve">   030199</v>
      </c>
      <c r="B3341" t="s">
        <v>15</v>
      </c>
      <c r="C3341">
        <v>4780636</v>
      </c>
      <c r="D3341">
        <v>28532</v>
      </c>
    </row>
    <row r="3342" spans="1:4" x14ac:dyDescent="0.25">
      <c r="A3342" t="str">
        <f>T("   030319")</f>
        <v xml:space="preserve">   030319</v>
      </c>
      <c r="B3342" t="str">
        <f>T("   Saumons du Pacifique [Oncorhynchus gorbuscha, Oncorhynchus keta, Oncorhynchus tschawytscha, Oncorhynchus kisutch, Oncorhynchus masou et Oncorhynchus rhodurus], congelés (à l'excl. des saumons rouges [Oncorhynchus nerka])")</f>
        <v xml:space="preserve">   Saumons du Pacifique [Oncorhynchus gorbuscha, Oncorhynchus keta, Oncorhynchus tschawytscha, Oncorhynchus kisutch, Oncorhynchus masou et Oncorhynchus rhodurus], congelés (à l'excl. des saumons rouges [Oncorhynchus nerka])</v>
      </c>
      <c r="C3342">
        <v>6299840</v>
      </c>
      <c r="D3342">
        <v>28000</v>
      </c>
    </row>
    <row r="3343" spans="1:4" x14ac:dyDescent="0.25">
      <c r="A3343" t="str">
        <f>T("   030339")</f>
        <v xml:space="preserve">   030339</v>
      </c>
      <c r="B3343" t="str">
        <f>T("   Poissons plats [pleuronectidés, bothidés, cynoglossidés, soléidés, scophthalmidés et citharidés], congelés (à l'excl. des flétans, des plies ou carrelets et des soles)")</f>
        <v xml:space="preserve">   Poissons plats [pleuronectidés, bothidés, cynoglossidés, soléidés, scophthalmidés et citharidés], congelés (à l'excl. des flétans, des plies ou carrelets et des soles)</v>
      </c>
      <c r="C3343">
        <v>13123792</v>
      </c>
      <c r="D3343">
        <v>58325</v>
      </c>
    </row>
    <row r="3344" spans="1:4" x14ac:dyDescent="0.25">
      <c r="A3344" t="str">
        <f>T("   030349")</f>
        <v xml:space="preserve">   030349</v>
      </c>
      <c r="B3344" t="str">
        <f>T("   Thons du genre 'Thunnus', congelés (à l'excl. des thons des espèces 'Thunnus alalunga, Thunnus albacares, Thunnus obesus, Thunnus thynnus et Thunnus maccoyii')")</f>
        <v xml:space="preserve">   Thons du genre 'Thunnus', congelés (à l'excl. des thons des espèces 'Thunnus alalunga, Thunnus albacares, Thunnus obesus, Thunnus thynnus et Thunnus maccoyii')</v>
      </c>
      <c r="C3344">
        <v>5327865</v>
      </c>
      <c r="D3344">
        <v>23680</v>
      </c>
    </row>
    <row r="3345" spans="1:4" x14ac:dyDescent="0.25">
      <c r="A3345" t="str">
        <f>T("   030371")</f>
        <v xml:space="preserve">   030371</v>
      </c>
      <c r="B3345" t="str">
        <f>T("   Sardines [Sardina pilchardus, Sardinops spp.], sardinelles [Sardinella spp.], sprats ou esprots [Sprattus sprattus], congelés")</f>
        <v xml:space="preserve">   Sardines [Sardina pilchardus, Sardinops spp.], sardinelles [Sardinella spp.], sprats ou esprots [Sprattus sprattus], congelés</v>
      </c>
      <c r="C3345">
        <v>8907281</v>
      </c>
      <c r="D3345">
        <v>52125</v>
      </c>
    </row>
    <row r="3346" spans="1:4" x14ac:dyDescent="0.25">
      <c r="A3346" t="str">
        <f>T("   030374")</f>
        <v xml:space="preserve">   030374</v>
      </c>
      <c r="B3346" t="str">
        <f>T("   Maquereaux [Scomber scombrus, Scomber australasicus, Scomber japonicus], congelés")</f>
        <v xml:space="preserve">   Maquereaux [Scomber scombrus, Scomber australasicus, Scomber japonicus], congelés</v>
      </c>
      <c r="C3346">
        <v>5624857</v>
      </c>
      <c r="D3346">
        <v>24000</v>
      </c>
    </row>
    <row r="3347" spans="1:4" x14ac:dyDescent="0.25">
      <c r="A3347" t="str">
        <f>T("   030379")</f>
        <v xml:space="preserve">   030379</v>
      </c>
      <c r="B3347" t="s">
        <v>17</v>
      </c>
      <c r="C3347">
        <v>238007372</v>
      </c>
      <c r="D3347">
        <v>1168994</v>
      </c>
    </row>
    <row r="3348" spans="1:4" x14ac:dyDescent="0.25">
      <c r="A3348" t="str">
        <f>T("   080610")</f>
        <v xml:space="preserve">   080610</v>
      </c>
      <c r="B3348" t="str">
        <f>T("   Raisins, frais")</f>
        <v xml:space="preserve">   Raisins, frais</v>
      </c>
      <c r="C3348">
        <v>7219496</v>
      </c>
      <c r="D3348">
        <v>16713</v>
      </c>
    </row>
    <row r="3349" spans="1:4" x14ac:dyDescent="0.25">
      <c r="A3349" t="str">
        <f>T("   080810")</f>
        <v xml:space="preserve">   080810</v>
      </c>
      <c r="B3349" t="str">
        <f>T("   Pommes, fraîches")</f>
        <v xml:space="preserve">   Pommes, fraîches</v>
      </c>
      <c r="C3349">
        <v>21007122</v>
      </c>
      <c r="D3349">
        <v>64268</v>
      </c>
    </row>
    <row r="3350" spans="1:4" x14ac:dyDescent="0.25">
      <c r="A3350" t="str">
        <f>T("   080940")</f>
        <v xml:space="preserve">   080940</v>
      </c>
      <c r="B3350" t="str">
        <f>T("   Prunes et prunelles, fraîches")</f>
        <v xml:space="preserve">   Prunes et prunelles, fraîches</v>
      </c>
      <c r="C3350">
        <v>894073</v>
      </c>
      <c r="D3350">
        <v>1787</v>
      </c>
    </row>
    <row r="3351" spans="1:4" x14ac:dyDescent="0.25">
      <c r="A3351" t="str">
        <f>T("   100640")</f>
        <v xml:space="preserve">   100640</v>
      </c>
      <c r="B3351" t="str">
        <f>T("   Riz en brisures")</f>
        <v xml:space="preserve">   Riz en brisures</v>
      </c>
      <c r="C3351">
        <v>96880700</v>
      </c>
      <c r="D3351">
        <v>350000</v>
      </c>
    </row>
    <row r="3352" spans="1:4" x14ac:dyDescent="0.25">
      <c r="A3352" t="str">
        <f>T("   150910")</f>
        <v xml:space="preserve">   150910</v>
      </c>
      <c r="B3352" t="str">
        <f>T("   Huile d'olive vierge et ses fractions, obtenues, à partir des fruits de l'olivier, uniquement par des procédés mécaniques ou physiques, dans des conditions n'altérant pas l'huile")</f>
        <v xml:space="preserve">   Huile d'olive vierge et ses fractions, obtenues, à partir des fruits de l'olivier, uniquement par des procédés mécaniques ou physiques, dans des conditions n'altérant pas l'huile</v>
      </c>
      <c r="C3352">
        <v>4293606</v>
      </c>
      <c r="D3352">
        <v>7034</v>
      </c>
    </row>
    <row r="3353" spans="1:4" x14ac:dyDescent="0.25">
      <c r="A3353" t="str">
        <f>T("   150990")</f>
        <v xml:space="preserve">   150990</v>
      </c>
      <c r="B3353"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3353">
        <v>4469055</v>
      </c>
      <c r="D3353">
        <v>6986</v>
      </c>
    </row>
    <row r="3354" spans="1:4" x14ac:dyDescent="0.25">
      <c r="A3354" t="str">
        <f>T("   151620")</f>
        <v xml:space="preserve">   151620</v>
      </c>
      <c r="B3354"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3354">
        <v>13200539</v>
      </c>
      <c r="D3354">
        <v>66000</v>
      </c>
    </row>
    <row r="3355" spans="1:4" x14ac:dyDescent="0.25">
      <c r="A3355" t="str">
        <f>T("   160100")</f>
        <v xml:space="preserve">   160100</v>
      </c>
      <c r="B3355" t="str">
        <f>T("   Saucisses, saucissons et produits simil., de viande, d'abats ou de sang; préparations alimentaires à base de ces produits")</f>
        <v xml:space="preserve">   Saucisses, saucissons et produits simil., de viande, d'abats ou de sang; préparations alimentaires à base de ces produits</v>
      </c>
      <c r="C3355">
        <v>6225060</v>
      </c>
      <c r="D3355">
        <v>10000</v>
      </c>
    </row>
    <row r="3356" spans="1:4" x14ac:dyDescent="0.25">
      <c r="A3356" t="str">
        <f>T("   160231")</f>
        <v xml:space="preserve">   160231</v>
      </c>
      <c r="B3356" t="s">
        <v>39</v>
      </c>
      <c r="C3356">
        <v>2963628</v>
      </c>
      <c r="D3356">
        <v>1906</v>
      </c>
    </row>
    <row r="3357" spans="1:4" x14ac:dyDescent="0.25">
      <c r="A3357" t="str">
        <f>T("   160242")</f>
        <v xml:space="preserve">   160242</v>
      </c>
      <c r="B3357" t="str">
        <f>T("   Préparations et conserves d'épaules et de morceaux d'épaules des animaux de l'espèce porcine")</f>
        <v xml:space="preserve">   Préparations et conserves d'épaules et de morceaux d'épaules des animaux de l'espèce porcine</v>
      </c>
      <c r="C3357">
        <v>14460775</v>
      </c>
      <c r="D3357">
        <v>22185</v>
      </c>
    </row>
    <row r="3358" spans="1:4" x14ac:dyDescent="0.25">
      <c r="A3358" t="str">
        <f>T("   160413")</f>
        <v xml:space="preserve">   160413</v>
      </c>
      <c r="B3358"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3358">
        <v>17711</v>
      </c>
      <c r="D3358">
        <v>5</v>
      </c>
    </row>
    <row r="3359" spans="1:4" x14ac:dyDescent="0.25">
      <c r="A3359" t="str">
        <f>T("   170490")</f>
        <v xml:space="preserve">   170490</v>
      </c>
      <c r="B3359" t="str">
        <f>T("   Sucreries sans cacao, y.c. le chocolat blanc (à l'excl. des gommes à mâcher)")</f>
        <v xml:space="preserve">   Sucreries sans cacao, y.c. le chocolat blanc (à l'excl. des gommes à mâcher)</v>
      </c>
      <c r="C3359">
        <v>5893608</v>
      </c>
      <c r="D3359">
        <v>18646</v>
      </c>
    </row>
    <row r="3360" spans="1:4" x14ac:dyDescent="0.25">
      <c r="A3360" t="str">
        <f>T("   180632")</f>
        <v xml:space="preserve">   180632</v>
      </c>
      <c r="B3360"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3360">
        <v>81451</v>
      </c>
      <c r="D3360">
        <v>260</v>
      </c>
    </row>
    <row r="3361" spans="1:4" x14ac:dyDescent="0.25">
      <c r="A3361" t="str">
        <f>T("   190219")</f>
        <v xml:space="preserve">   190219</v>
      </c>
      <c r="B3361" t="str">
        <f>T("   PÂTES ALIMENTAIRES NON-CUITES NI FARCIES NI AUTREMENT PRÉPARÉES, NE CONTENANT PAS D'OEUFS")</f>
        <v xml:space="preserve">   PÂTES ALIMENTAIRES NON-CUITES NI FARCIES NI AUTREMENT PRÉPARÉES, NE CONTENANT PAS D'OEUFS</v>
      </c>
      <c r="C3361">
        <v>18097159</v>
      </c>
      <c r="D3361">
        <v>64000</v>
      </c>
    </row>
    <row r="3362" spans="1:4" x14ac:dyDescent="0.25">
      <c r="A3362" t="str">
        <f>T("   190230")</f>
        <v xml:space="preserve">   190230</v>
      </c>
      <c r="B3362" t="str">
        <f>T("   Pâtes alimentaires, cuites ou autrement préparées (à l'excl. des pâtes alimentaires farcies)")</f>
        <v xml:space="preserve">   Pâtes alimentaires, cuites ou autrement préparées (à l'excl. des pâtes alimentaires farcies)</v>
      </c>
      <c r="C3362">
        <v>4000044</v>
      </c>
      <c r="D3362">
        <v>27000</v>
      </c>
    </row>
    <row r="3363" spans="1:4" x14ac:dyDescent="0.25">
      <c r="A3363" t="str">
        <f>T("   190531")</f>
        <v xml:space="preserve">   190531</v>
      </c>
      <c r="B3363" t="str">
        <f>T("   Biscuits additionnés d'édulcorants")</f>
        <v xml:space="preserve">   Biscuits additionnés d'édulcorants</v>
      </c>
      <c r="C3363">
        <v>17641046</v>
      </c>
      <c r="D3363">
        <v>17375</v>
      </c>
    </row>
    <row r="3364" spans="1:4" x14ac:dyDescent="0.25">
      <c r="A3364" t="str">
        <f>T("   190532")</f>
        <v xml:space="preserve">   190532</v>
      </c>
      <c r="B3364" t="str">
        <f>T("   GAUFRES ET GAUFRETTES")</f>
        <v xml:space="preserve">   GAUFRES ET GAUFRETTES</v>
      </c>
      <c r="C3364">
        <v>5375834</v>
      </c>
      <c r="D3364">
        <v>14916</v>
      </c>
    </row>
    <row r="3365" spans="1:4" x14ac:dyDescent="0.25">
      <c r="A3365" t="str">
        <f>T("   190590")</f>
        <v xml:space="preserve">   190590</v>
      </c>
      <c r="B3365" t="s">
        <v>52</v>
      </c>
      <c r="C3365">
        <v>3142632</v>
      </c>
      <c r="D3365">
        <v>2453</v>
      </c>
    </row>
    <row r="3366" spans="1:4" x14ac:dyDescent="0.25">
      <c r="A3366" t="str">
        <f>T("   200570")</f>
        <v xml:space="preserve">   200570</v>
      </c>
      <c r="B3366" t="str">
        <f>T("   OLIVES, PRÉPARÉES OU CONSERVÉES AUTREMENT QU'AU VINAIGRE OU À L'ACIDE ACÉTIQUE, NON-CONGELÉES")</f>
        <v xml:space="preserve">   OLIVES, PRÉPARÉES OU CONSERVÉES AUTREMENT QU'AU VINAIGRE OU À L'ACIDE ACÉTIQUE, NON-CONGELÉES</v>
      </c>
      <c r="C3366">
        <v>9589814</v>
      </c>
      <c r="D3366">
        <v>19159</v>
      </c>
    </row>
    <row r="3367" spans="1:4" x14ac:dyDescent="0.25">
      <c r="A3367" t="str">
        <f>T("   200799")</f>
        <v xml:space="preserve">   200799</v>
      </c>
      <c r="B3367" t="s">
        <v>55</v>
      </c>
      <c r="C3367">
        <v>127617</v>
      </c>
      <c r="D3367">
        <v>351</v>
      </c>
    </row>
    <row r="3368" spans="1:4" x14ac:dyDescent="0.25">
      <c r="A3368" t="str">
        <f>T("   200919")</f>
        <v xml:space="preserve">   200919</v>
      </c>
      <c r="B3368"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3368">
        <v>2219113</v>
      </c>
      <c r="D3368">
        <v>10000</v>
      </c>
    </row>
    <row r="3369" spans="1:4" x14ac:dyDescent="0.25">
      <c r="A3369" t="str">
        <f>T("   200949")</f>
        <v xml:space="preserve">   200949</v>
      </c>
      <c r="B3369"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3369">
        <v>280527</v>
      </c>
      <c r="D3369">
        <v>1200</v>
      </c>
    </row>
    <row r="3370" spans="1:4" x14ac:dyDescent="0.25">
      <c r="A3370" t="str">
        <f>T("   200950")</f>
        <v xml:space="preserve">   200950</v>
      </c>
      <c r="B3370" t="str">
        <f>T("   JUS DE TOMATE, NON-FERMENTÉS, SANS ADDITION D'ALCOOL, AVEC OU SANS ADDITION DE SUCRE OU D'AUTRES ÉDULCORANTS")</f>
        <v xml:space="preserve">   JUS DE TOMATE, NON-FERMENTÉS, SANS ADDITION D'ALCOOL, AVEC OU SANS ADDITION DE SUCRE OU D'AUTRES ÉDULCORANTS</v>
      </c>
      <c r="C3370">
        <v>1174916</v>
      </c>
      <c r="D3370">
        <v>2488</v>
      </c>
    </row>
    <row r="3371" spans="1:4" x14ac:dyDescent="0.25">
      <c r="A3371" t="str">
        <f>T("   200971")</f>
        <v xml:space="preserve">   200971</v>
      </c>
      <c r="B3371" t="str">
        <f>T("   JUS DE POMME, NON-FERMENTÉS, SANS ADDITION D'ALCOOL, AVEC OU SANS ADDITION DE SUCRE OU D'AUTRES ÉDULCORANTS, D'UNE VALEUR BRIX &lt;= 20 À 20°C")</f>
        <v xml:space="preserve">   JUS DE POMME, NON-FERMENTÉS, SANS ADDITION D'ALCOOL, AVEC OU SANS ADDITION DE SUCRE OU D'AUTRES ÉDULCORANTS, D'UNE VALEUR BRIX &lt;= 20 À 20°C</v>
      </c>
      <c r="C3371">
        <v>1109228</v>
      </c>
      <c r="D3371">
        <v>5000</v>
      </c>
    </row>
    <row r="3372" spans="1:4" x14ac:dyDescent="0.25">
      <c r="A3372" t="str">
        <f>T("   200980")</f>
        <v xml:space="preserve">   200980</v>
      </c>
      <c r="B3372"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372">
        <v>4909483</v>
      </c>
      <c r="D3372">
        <v>22164</v>
      </c>
    </row>
    <row r="3373" spans="1:4" x14ac:dyDescent="0.25">
      <c r="A3373" t="str">
        <f>T("   200990")</f>
        <v xml:space="preserve">   200990</v>
      </c>
      <c r="B3373"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3373">
        <v>8148512</v>
      </c>
      <c r="D3373">
        <v>29881</v>
      </c>
    </row>
    <row r="3374" spans="1:4" x14ac:dyDescent="0.25">
      <c r="A3374" t="str">
        <f>T("   210420")</f>
        <v xml:space="preserve">   210420</v>
      </c>
      <c r="B3374" t="s">
        <v>60</v>
      </c>
      <c r="C3374">
        <v>27590</v>
      </c>
      <c r="D3374">
        <v>115</v>
      </c>
    </row>
    <row r="3375" spans="1:4" x14ac:dyDescent="0.25">
      <c r="A3375" t="str">
        <f>T("   220110")</f>
        <v xml:space="preserve">   220110</v>
      </c>
      <c r="B3375" t="str">
        <f>T("   Eaux minérales et eaux gazéifiées, non additionnées de sucre ou d'autres édulcorants ni aromatisées")</f>
        <v xml:space="preserve">   Eaux minérales et eaux gazéifiées, non additionnées de sucre ou d'autres édulcorants ni aromatisées</v>
      </c>
      <c r="C3375">
        <v>6383476</v>
      </c>
      <c r="D3375">
        <v>85740</v>
      </c>
    </row>
    <row r="3376" spans="1:4" x14ac:dyDescent="0.25">
      <c r="A3376" t="str">
        <f>T("   220190")</f>
        <v xml:space="preserve">   220190</v>
      </c>
      <c r="B3376"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3376">
        <v>2950509</v>
      </c>
      <c r="D3376">
        <v>40931</v>
      </c>
    </row>
    <row r="3377" spans="1:4" x14ac:dyDescent="0.25">
      <c r="A3377" t="str">
        <f>T("   220210")</f>
        <v xml:space="preserve">   220210</v>
      </c>
      <c r="B3377"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3377">
        <v>88926249</v>
      </c>
      <c r="D3377">
        <v>279107</v>
      </c>
    </row>
    <row r="3378" spans="1:4" x14ac:dyDescent="0.25">
      <c r="A3378" t="str">
        <f>T("   220290")</f>
        <v xml:space="preserve">   220290</v>
      </c>
      <c r="B3378" t="str">
        <f>T("   BOISSONS NON-ALCOOLIQUES (À L'EXCL. DES EAUX, DES JUS DE FRUITS OU DE LÉGUMES AINSI QUE DU LAIT)")</f>
        <v xml:space="preserve">   BOISSONS NON-ALCOOLIQUES (À L'EXCL. DES EAUX, DES JUS DE FRUITS OU DE LÉGUMES AINSI QUE DU LAIT)</v>
      </c>
      <c r="C3378">
        <v>74160181</v>
      </c>
      <c r="D3378">
        <v>334840</v>
      </c>
    </row>
    <row r="3379" spans="1:4" x14ac:dyDescent="0.25">
      <c r="A3379" t="str">
        <f>T("   220300")</f>
        <v xml:space="preserve">   220300</v>
      </c>
      <c r="B3379" t="str">
        <f>T("   Bières de malt")</f>
        <v xml:space="preserve">   Bières de malt</v>
      </c>
      <c r="C3379">
        <v>11615576</v>
      </c>
      <c r="D3379">
        <v>43061</v>
      </c>
    </row>
    <row r="3380" spans="1:4" x14ac:dyDescent="0.25">
      <c r="A3380" t="str">
        <f>T("   220410")</f>
        <v xml:space="preserve">   220410</v>
      </c>
      <c r="B3380" t="str">
        <f>T("   Vins mousseux produits à partir de raisins frais")</f>
        <v xml:space="preserve">   Vins mousseux produits à partir de raisins frais</v>
      </c>
      <c r="C3380">
        <v>92658553</v>
      </c>
      <c r="D3380">
        <v>1099175</v>
      </c>
    </row>
    <row r="3381" spans="1:4" x14ac:dyDescent="0.25">
      <c r="A3381" t="str">
        <f>T("   220421")</f>
        <v xml:space="preserve">   220421</v>
      </c>
      <c r="B3381"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3381">
        <v>1021028421</v>
      </c>
      <c r="D3381">
        <v>5357465</v>
      </c>
    </row>
    <row r="3382" spans="1:4" x14ac:dyDescent="0.25">
      <c r="A3382" t="str">
        <f>T("   220429")</f>
        <v xml:space="preserve">   220429</v>
      </c>
      <c r="B3382"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3382">
        <v>42341779</v>
      </c>
      <c r="D3382">
        <v>198235</v>
      </c>
    </row>
    <row r="3383" spans="1:4" x14ac:dyDescent="0.25">
      <c r="A3383" t="str">
        <f>T("   220510")</f>
        <v xml:space="preserve">   220510</v>
      </c>
      <c r="B3383"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3383">
        <v>154705750</v>
      </c>
      <c r="D3383">
        <v>794147</v>
      </c>
    </row>
    <row r="3384" spans="1:4" x14ac:dyDescent="0.25">
      <c r="A3384" t="str">
        <f>T("   220590")</f>
        <v xml:space="preserve">   220590</v>
      </c>
      <c r="B3384"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3384">
        <v>4000000</v>
      </c>
      <c r="D3384">
        <v>44530</v>
      </c>
    </row>
    <row r="3385" spans="1:4" x14ac:dyDescent="0.25">
      <c r="A3385" t="str">
        <f>T("   220830")</f>
        <v xml:space="preserve">   220830</v>
      </c>
      <c r="B3385" t="str">
        <f>T("   Whiskies")</f>
        <v xml:space="preserve">   Whiskies</v>
      </c>
      <c r="C3385">
        <v>7944988</v>
      </c>
      <c r="D3385">
        <v>12272</v>
      </c>
    </row>
    <row r="3386" spans="1:4" x14ac:dyDescent="0.25">
      <c r="A3386" t="str">
        <f>T("   220840")</f>
        <v xml:space="preserve">   220840</v>
      </c>
      <c r="B3386" t="str">
        <f>T("   RHUM ET AUTRES EAUX-DE-VIE PROVENANT DE LA DISTILLATION, APRÈS FERMENTATION, DE PRODUITS DE CANNES À SUCRE")</f>
        <v xml:space="preserve">   RHUM ET AUTRES EAUX-DE-VIE PROVENANT DE LA DISTILLATION, APRÈS FERMENTATION, DE PRODUITS DE CANNES À SUCRE</v>
      </c>
      <c r="C3386">
        <v>18117615</v>
      </c>
      <c r="D3386">
        <v>26217</v>
      </c>
    </row>
    <row r="3387" spans="1:4" x14ac:dyDescent="0.25">
      <c r="A3387" t="str">
        <f>T("   220850")</f>
        <v xml:space="preserve">   220850</v>
      </c>
      <c r="B3387" t="str">
        <f>T("   Gin et genièvre")</f>
        <v xml:space="preserve">   Gin et genièvre</v>
      </c>
      <c r="C3387">
        <v>1240086</v>
      </c>
      <c r="D3387">
        <v>2983.2</v>
      </c>
    </row>
    <row r="3388" spans="1:4" x14ac:dyDescent="0.25">
      <c r="A3388" t="str">
        <f>T("   220870")</f>
        <v xml:space="preserve">   220870</v>
      </c>
      <c r="B3388" t="str">
        <f>T("   LIQUEURS")</f>
        <v xml:space="preserve">   LIQUEURS</v>
      </c>
      <c r="C3388">
        <v>31834649</v>
      </c>
      <c r="D3388">
        <v>89912.2</v>
      </c>
    </row>
    <row r="3389" spans="1:4" x14ac:dyDescent="0.25">
      <c r="A3389" t="str">
        <f>T("   220890")</f>
        <v xml:space="preserve">   220890</v>
      </c>
      <c r="B3389" t="s">
        <v>62</v>
      </c>
      <c r="C3389">
        <v>42430447</v>
      </c>
      <c r="D3389">
        <v>129834.6</v>
      </c>
    </row>
    <row r="3390" spans="1:4" x14ac:dyDescent="0.25">
      <c r="A3390" t="str">
        <f>T("   250100")</f>
        <v xml:space="preserve">   250100</v>
      </c>
      <c r="B3390" t="s">
        <v>65</v>
      </c>
      <c r="C3390">
        <v>28528</v>
      </c>
      <c r="D3390">
        <v>60</v>
      </c>
    </row>
    <row r="3391" spans="1:4" x14ac:dyDescent="0.25">
      <c r="A3391" t="str">
        <f>T("   250900")</f>
        <v xml:space="preserve">   250900</v>
      </c>
      <c r="B3391" t="str">
        <f>T("   Craie")</f>
        <v xml:space="preserve">   Craie</v>
      </c>
      <c r="C3391">
        <v>2768374</v>
      </c>
      <c r="D3391">
        <v>25500</v>
      </c>
    </row>
    <row r="3392" spans="1:4" x14ac:dyDescent="0.25">
      <c r="A3392" t="str">
        <f>T("   251200")</f>
        <v xml:space="preserve">   251200</v>
      </c>
      <c r="B3392" t="str">
        <f>T("   Farines siliceuses fossiles [kieselguhr, tripolite, diatomite, par exemple] et autres terres siliceuses analogues, d'une densité apparente &lt;= 1, même calcinées")</f>
        <v xml:space="preserve">   Farines siliceuses fossiles [kieselguhr, tripolite, diatomite, par exemple] et autres terres siliceuses analogues, d'une densité apparente &lt;= 1, même calcinées</v>
      </c>
      <c r="C3392">
        <v>6217766</v>
      </c>
      <c r="D3392">
        <v>9477</v>
      </c>
    </row>
    <row r="3393" spans="1:4" x14ac:dyDescent="0.25">
      <c r="A3393" t="str">
        <f>T("   251520")</f>
        <v xml:space="preserve">   251520</v>
      </c>
      <c r="B3393" t="s">
        <v>66</v>
      </c>
      <c r="C3393">
        <v>484364528</v>
      </c>
      <c r="D3393">
        <v>17649000</v>
      </c>
    </row>
    <row r="3394" spans="1:4" x14ac:dyDescent="0.25">
      <c r="A3394" t="str">
        <f>T("   251611")</f>
        <v xml:space="preserve">   251611</v>
      </c>
      <c r="B3394" t="str">
        <f>T("   Granit, brut ou dégrossi (à l'excl. des pierres présentant le caractère de pavés, de bordures de trottoirs ou de dalles de pavage)")</f>
        <v xml:space="preserve">   Granit, brut ou dégrossi (à l'excl. des pierres présentant le caractère de pavés, de bordures de trottoirs ou de dalles de pavage)</v>
      </c>
      <c r="C3394">
        <v>3383441</v>
      </c>
      <c r="D3394">
        <v>26880</v>
      </c>
    </row>
    <row r="3395" spans="1:4" x14ac:dyDescent="0.25">
      <c r="A3395" t="str">
        <f>T("   252010")</f>
        <v xml:space="preserve">   252010</v>
      </c>
      <c r="B3395" t="str">
        <f>T("   Gypse; anhydrite")</f>
        <v xml:space="preserve">   Gypse; anhydrite</v>
      </c>
      <c r="C3395">
        <v>1600068294</v>
      </c>
      <c r="D3395">
        <v>64600000</v>
      </c>
    </row>
    <row r="3396" spans="1:4" x14ac:dyDescent="0.25">
      <c r="A3396" t="str">
        <f>T("   252020")</f>
        <v xml:space="preserve">   252020</v>
      </c>
      <c r="B3396" t="str">
        <f>T("   Plâtres, même colorés ou additionnés de faibles quantités d'accélérateurs ou de retardateurs")</f>
        <v xml:space="preserve">   Plâtres, même colorés ou additionnés de faibles quantités d'accélérateurs ou de retardateurs</v>
      </c>
      <c r="C3396">
        <v>2192598</v>
      </c>
      <c r="D3396">
        <v>54450</v>
      </c>
    </row>
    <row r="3397" spans="1:4" x14ac:dyDescent="0.25">
      <c r="A3397" t="str">
        <f>T("   252100")</f>
        <v xml:space="preserve">   252100</v>
      </c>
      <c r="B3397" t="str">
        <f>T("   Castines; pierres à chaux ou à ciment")</f>
        <v xml:space="preserve">   Castines; pierres à chaux ou à ciment</v>
      </c>
      <c r="C3397">
        <v>289258681</v>
      </c>
      <c r="D3397">
        <v>11000000</v>
      </c>
    </row>
    <row r="3398" spans="1:4" x14ac:dyDescent="0.25">
      <c r="A3398" t="str">
        <f>T("   252210")</f>
        <v xml:space="preserve">   252210</v>
      </c>
      <c r="B3398" t="str">
        <f>T("   Chaux vive")</f>
        <v xml:space="preserve">   Chaux vive</v>
      </c>
      <c r="C3398">
        <v>51040289</v>
      </c>
      <c r="D3398">
        <v>656253</v>
      </c>
    </row>
    <row r="3399" spans="1:4" x14ac:dyDescent="0.25">
      <c r="A3399" t="str">
        <f>T("   252321")</f>
        <v xml:space="preserve">   252321</v>
      </c>
      <c r="B3399" t="str">
        <f>T("   Ciments Portland blancs, même colorés artificiellement")</f>
        <v xml:space="preserve">   Ciments Portland blancs, même colorés artificiellement</v>
      </c>
      <c r="C3399">
        <v>5358425</v>
      </c>
      <c r="D3399">
        <v>64550</v>
      </c>
    </row>
    <row r="3400" spans="1:4" x14ac:dyDescent="0.25">
      <c r="A3400" t="str">
        <f>T("   252620")</f>
        <v xml:space="preserve">   252620</v>
      </c>
      <c r="B3400" t="str">
        <f>T("   Stéatite naturelle, broyée ou pulvérisée")</f>
        <v xml:space="preserve">   Stéatite naturelle, broyée ou pulvérisée</v>
      </c>
      <c r="C3400">
        <v>493938</v>
      </c>
      <c r="D3400">
        <v>651</v>
      </c>
    </row>
    <row r="3401" spans="1:4" x14ac:dyDescent="0.25">
      <c r="A3401" t="str">
        <f>T("   253090")</f>
        <v xml:space="preserve">   253090</v>
      </c>
      <c r="B3401" t="str">
        <f>T("   Sulfures d'arsenic, alunite, terre de pouzzolane, terres colorantes et autres matières minérales, n.d.a.")</f>
        <v xml:space="preserve">   Sulfures d'arsenic, alunite, terre de pouzzolane, terres colorantes et autres matières minérales, n.d.a.</v>
      </c>
      <c r="C3401">
        <v>7440429</v>
      </c>
      <c r="D3401">
        <v>49350</v>
      </c>
    </row>
    <row r="3402" spans="1:4" x14ac:dyDescent="0.25">
      <c r="A3402" t="str">
        <f>T("   271019")</f>
        <v xml:space="preserve">   271019</v>
      </c>
      <c r="B3402" t="str">
        <f>T("   Huiles moyennes et préparations, de pétrole ou de minéraux bitumineux, n.d.a.")</f>
        <v xml:space="preserve">   Huiles moyennes et préparations, de pétrole ou de minéraux bitumineux, n.d.a.</v>
      </c>
      <c r="C3402">
        <v>14492583</v>
      </c>
      <c r="D3402">
        <v>16202</v>
      </c>
    </row>
    <row r="3403" spans="1:4" x14ac:dyDescent="0.25">
      <c r="A3403" t="str">
        <f>T("   271500")</f>
        <v xml:space="preserve">   271500</v>
      </c>
      <c r="B3403"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3403">
        <v>516896</v>
      </c>
      <c r="D3403">
        <v>853</v>
      </c>
    </row>
    <row r="3404" spans="1:4" x14ac:dyDescent="0.25">
      <c r="A3404" t="str">
        <f>T("   281511")</f>
        <v xml:space="preserve">   281511</v>
      </c>
      <c r="B3404" t="str">
        <f>T("   Hydroxyde de sodium [soude caustique], solide")</f>
        <v xml:space="preserve">   Hydroxyde de sodium [soude caustique], solide</v>
      </c>
      <c r="C3404">
        <v>20055321</v>
      </c>
      <c r="D3404">
        <v>43060</v>
      </c>
    </row>
    <row r="3405" spans="1:4" x14ac:dyDescent="0.25">
      <c r="A3405" t="str">
        <f>T("   283650")</f>
        <v xml:space="preserve">   283650</v>
      </c>
      <c r="B3405" t="str">
        <f>T("   Carbonate de calcium")</f>
        <v xml:space="preserve">   Carbonate de calcium</v>
      </c>
      <c r="C3405">
        <v>43975560</v>
      </c>
      <c r="D3405">
        <v>384000</v>
      </c>
    </row>
    <row r="3406" spans="1:4" x14ac:dyDescent="0.25">
      <c r="A3406" t="str">
        <f>T("   291814")</f>
        <v xml:space="preserve">   291814</v>
      </c>
      <c r="B3406" t="str">
        <f>T("   Acide citrique")</f>
        <v xml:space="preserve">   Acide citrique</v>
      </c>
      <c r="C3406">
        <v>634313</v>
      </c>
      <c r="D3406">
        <v>46</v>
      </c>
    </row>
    <row r="3407" spans="1:4" x14ac:dyDescent="0.25">
      <c r="A3407" t="str">
        <f>T("   300230")</f>
        <v xml:space="preserve">   300230</v>
      </c>
      <c r="B3407" t="str">
        <f>T("   Vaccins pour la médecine vétérinaire")</f>
        <v xml:space="preserve">   Vaccins pour la médecine vétérinaire</v>
      </c>
      <c r="C3407">
        <v>13602735</v>
      </c>
      <c r="D3407">
        <v>487.72</v>
      </c>
    </row>
    <row r="3408" spans="1:4" x14ac:dyDescent="0.25">
      <c r="A3408" t="str">
        <f>T("   300490")</f>
        <v xml:space="preserve">   300490</v>
      </c>
      <c r="B3408" t="s">
        <v>79</v>
      </c>
      <c r="C3408">
        <v>11327506</v>
      </c>
      <c r="D3408">
        <v>7264</v>
      </c>
    </row>
    <row r="3409" spans="1:4" x14ac:dyDescent="0.25">
      <c r="A3409" t="str">
        <f>T("   300670")</f>
        <v xml:space="preserve">   300670</v>
      </c>
      <c r="B3409" t="s">
        <v>82</v>
      </c>
      <c r="C3409">
        <v>5871623</v>
      </c>
      <c r="D3409">
        <v>10805</v>
      </c>
    </row>
    <row r="3410" spans="1:4" x14ac:dyDescent="0.25">
      <c r="A3410" t="str">
        <f>T("   321490")</f>
        <v xml:space="preserve">   321490</v>
      </c>
      <c r="B3410" t="str">
        <f>T("   Enduits non réfractaires des types utilisés en maçonnerie")</f>
        <v xml:space="preserve">   Enduits non réfractaires des types utilisés en maçonnerie</v>
      </c>
      <c r="C3410">
        <v>10874505</v>
      </c>
      <c r="D3410">
        <v>131500</v>
      </c>
    </row>
    <row r="3411" spans="1:4" x14ac:dyDescent="0.25">
      <c r="A3411" t="str">
        <f>T("   330210")</f>
        <v xml:space="preserve">   330210</v>
      </c>
      <c r="B3411"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3411">
        <v>5123704</v>
      </c>
      <c r="D3411">
        <v>687</v>
      </c>
    </row>
    <row r="3412" spans="1:4" x14ac:dyDescent="0.25">
      <c r="A3412" t="str">
        <f>T("   330300")</f>
        <v xml:space="preserve">   330300</v>
      </c>
      <c r="B3412"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3412">
        <v>3421133</v>
      </c>
      <c r="D3412">
        <v>8036</v>
      </c>
    </row>
    <row r="3413" spans="1:4" x14ac:dyDescent="0.25">
      <c r="A3413" t="str">
        <f>T("   330491")</f>
        <v xml:space="preserve">   330491</v>
      </c>
      <c r="B3413"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3413">
        <v>314205</v>
      </c>
      <c r="D3413">
        <v>545</v>
      </c>
    </row>
    <row r="3414" spans="1:4" x14ac:dyDescent="0.25">
      <c r="A3414" t="str">
        <f>T("   330499")</f>
        <v xml:space="preserve">   330499</v>
      </c>
      <c r="B3414" t="s">
        <v>97</v>
      </c>
      <c r="C3414">
        <v>15162294</v>
      </c>
      <c r="D3414">
        <v>38595</v>
      </c>
    </row>
    <row r="3415" spans="1:4" x14ac:dyDescent="0.25">
      <c r="A3415" t="str">
        <f>T("   330590")</f>
        <v xml:space="preserve">   330590</v>
      </c>
      <c r="B3415"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3415">
        <v>216467</v>
      </c>
      <c r="D3415">
        <v>708</v>
      </c>
    </row>
    <row r="3416" spans="1:4" x14ac:dyDescent="0.25">
      <c r="A3416" t="str">
        <f>T("   330749")</f>
        <v xml:space="preserve">   330749</v>
      </c>
      <c r="B3416"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3416">
        <v>26787439</v>
      </c>
      <c r="D3416">
        <v>43295</v>
      </c>
    </row>
    <row r="3417" spans="1:4" x14ac:dyDescent="0.25">
      <c r="A3417" t="str">
        <f>T("   340111")</f>
        <v xml:space="preserve">   340111</v>
      </c>
      <c r="B3417" t="s">
        <v>98</v>
      </c>
      <c r="C3417">
        <v>10408644</v>
      </c>
      <c r="D3417">
        <v>21363</v>
      </c>
    </row>
    <row r="3418" spans="1:4" x14ac:dyDescent="0.25">
      <c r="A3418" t="str">
        <f>T("   340120")</f>
        <v xml:space="preserve">   340120</v>
      </c>
      <c r="B3418" t="str">
        <f>T("   Savons en flocons, en paillettes, en granulés ou en poudres et savons liquides ou pâteux")</f>
        <v xml:space="preserve">   Savons en flocons, en paillettes, en granulés ou en poudres et savons liquides ou pâteux</v>
      </c>
      <c r="C3418">
        <v>1195159</v>
      </c>
      <c r="D3418">
        <v>4495</v>
      </c>
    </row>
    <row r="3419" spans="1:4" x14ac:dyDescent="0.25">
      <c r="A3419" t="str">
        <f>T("   340220")</f>
        <v xml:space="preserve">   340220</v>
      </c>
      <c r="B3419" t="s">
        <v>100</v>
      </c>
      <c r="C3419">
        <v>13548408</v>
      </c>
      <c r="D3419">
        <v>50097</v>
      </c>
    </row>
    <row r="3420" spans="1:4" x14ac:dyDescent="0.25">
      <c r="A3420" t="str">
        <f>T("   340290")</f>
        <v xml:space="preserve">   340290</v>
      </c>
      <c r="B3420" t="s">
        <v>101</v>
      </c>
      <c r="C3420">
        <v>161340</v>
      </c>
      <c r="D3420">
        <v>519</v>
      </c>
    </row>
    <row r="3421" spans="1:4" x14ac:dyDescent="0.25">
      <c r="A3421" t="str">
        <f>T("   340520")</f>
        <v xml:space="preserve">   340520</v>
      </c>
      <c r="B3421" t="s">
        <v>106</v>
      </c>
      <c r="C3421">
        <v>284687</v>
      </c>
      <c r="D3421">
        <v>248</v>
      </c>
    </row>
    <row r="3422" spans="1:4" x14ac:dyDescent="0.25">
      <c r="A3422" t="str">
        <f>T("   350699")</f>
        <v xml:space="preserve">   350699</v>
      </c>
      <c r="B3422" t="str">
        <f>T("   Colles et autres adhésifs préparés, n.d.a.")</f>
        <v xml:space="preserve">   Colles et autres adhésifs préparés, n.d.a.</v>
      </c>
      <c r="C3422">
        <v>3025575</v>
      </c>
      <c r="D3422">
        <v>1755</v>
      </c>
    </row>
    <row r="3423" spans="1:4" x14ac:dyDescent="0.25">
      <c r="A3423" t="str">
        <f>T("   380810")</f>
        <v xml:space="preserve">   380810</v>
      </c>
      <c r="B3423"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3423">
        <v>86269892</v>
      </c>
      <c r="D3423">
        <v>204349</v>
      </c>
    </row>
    <row r="3424" spans="1:4" x14ac:dyDescent="0.25">
      <c r="A3424" t="str">
        <f>T("   381600")</f>
        <v xml:space="preserve">   381600</v>
      </c>
      <c r="B3424"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3424">
        <v>84221985</v>
      </c>
      <c r="D3424">
        <v>70050</v>
      </c>
    </row>
    <row r="3425" spans="1:4" x14ac:dyDescent="0.25">
      <c r="A3425" t="str">
        <f>T("   382200")</f>
        <v xml:space="preserve">   382200</v>
      </c>
      <c r="B3425" t="s">
        <v>122</v>
      </c>
      <c r="C3425">
        <v>2970934</v>
      </c>
      <c r="D3425">
        <v>131</v>
      </c>
    </row>
    <row r="3426" spans="1:4" x14ac:dyDescent="0.25">
      <c r="A3426" t="str">
        <f>T("   382440")</f>
        <v xml:space="preserve">   382440</v>
      </c>
      <c r="B3426" t="str">
        <f>T("   Additifs préparés pour ciments, mortiers ou bétons")</f>
        <v xml:space="preserve">   Additifs préparés pour ciments, mortiers ou bétons</v>
      </c>
      <c r="C3426">
        <v>71716107</v>
      </c>
      <c r="D3426">
        <v>80280</v>
      </c>
    </row>
    <row r="3427" spans="1:4" x14ac:dyDescent="0.25">
      <c r="A3427" t="str">
        <f>T("   382450")</f>
        <v xml:space="preserve">   382450</v>
      </c>
      <c r="B3427" t="str">
        <f>T("   MORTIERS ET BÉTONS, NON-RÉFRACTAIRES")</f>
        <v xml:space="preserve">   MORTIERS ET BÉTONS, NON-RÉFRACTAIRES</v>
      </c>
      <c r="C3427">
        <v>4664328</v>
      </c>
      <c r="D3427">
        <v>23600</v>
      </c>
    </row>
    <row r="3428" spans="1:4" x14ac:dyDescent="0.25">
      <c r="A3428" t="str">
        <f>T("   391729")</f>
        <v xml:space="preserve">   391729</v>
      </c>
      <c r="B3428"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3428">
        <v>762068</v>
      </c>
      <c r="D3428">
        <v>2333</v>
      </c>
    </row>
    <row r="3429" spans="1:4" x14ac:dyDescent="0.25">
      <c r="A3429" t="str">
        <f>T("   391910")</f>
        <v xml:space="preserve">   391910</v>
      </c>
      <c r="B3429"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3429">
        <v>13</v>
      </c>
      <c r="D3429">
        <v>3</v>
      </c>
    </row>
    <row r="3430" spans="1:4" x14ac:dyDescent="0.25">
      <c r="A3430" t="str">
        <f>T("   392099")</f>
        <v xml:space="preserve">   392099</v>
      </c>
      <c r="B3430" t="s">
        <v>137</v>
      </c>
      <c r="C3430">
        <v>11148001</v>
      </c>
      <c r="D3430">
        <v>6114</v>
      </c>
    </row>
    <row r="3431" spans="1:4" x14ac:dyDescent="0.25">
      <c r="A3431" t="str">
        <f>T("   392210")</f>
        <v xml:space="preserve">   392210</v>
      </c>
      <c r="B3431" t="str">
        <f>T("   Baignoires, douches, éviers et lavabos, en matières plastiques")</f>
        <v xml:space="preserve">   Baignoires, douches, éviers et lavabos, en matières plastiques</v>
      </c>
      <c r="C3431">
        <v>18442223</v>
      </c>
      <c r="D3431">
        <v>9081</v>
      </c>
    </row>
    <row r="3432" spans="1:4" x14ac:dyDescent="0.25">
      <c r="A3432" t="str">
        <f>T("   392220")</f>
        <v xml:space="preserve">   392220</v>
      </c>
      <c r="B3432" t="str">
        <f>T("   Sièges et couvercles de cuvettes d'aisance, en matières plastiques")</f>
        <v xml:space="preserve">   Sièges et couvercles de cuvettes d'aisance, en matières plastiques</v>
      </c>
      <c r="C3432">
        <v>11796562</v>
      </c>
      <c r="D3432">
        <v>7119</v>
      </c>
    </row>
    <row r="3433" spans="1:4" x14ac:dyDescent="0.25">
      <c r="A3433" t="str">
        <f>T("   392329")</f>
        <v xml:space="preserve">   392329</v>
      </c>
      <c r="B3433" t="str">
        <f>T("   Sacs, sachets, pochettes et cornets, en matières plastiques (autres que les polymères de l'éthylène)")</f>
        <v xml:space="preserve">   Sacs, sachets, pochettes et cornets, en matières plastiques (autres que les polymères de l'éthylène)</v>
      </c>
      <c r="C3433">
        <v>55515</v>
      </c>
      <c r="D3433">
        <v>123</v>
      </c>
    </row>
    <row r="3434" spans="1:4" x14ac:dyDescent="0.25">
      <c r="A3434" t="str">
        <f>T("   392350")</f>
        <v xml:space="preserve">   392350</v>
      </c>
      <c r="B3434" t="str">
        <f>T("   Bouchons, couvercles, capsules et autres dispositifs de fermeture, en matières plastiques")</f>
        <v xml:space="preserve">   Bouchons, couvercles, capsules et autres dispositifs de fermeture, en matières plastiques</v>
      </c>
      <c r="C3434">
        <v>166135659</v>
      </c>
      <c r="D3434">
        <v>58279</v>
      </c>
    </row>
    <row r="3435" spans="1:4" x14ac:dyDescent="0.25">
      <c r="A3435" t="str">
        <f>T("   392390")</f>
        <v xml:space="preserve">   392390</v>
      </c>
      <c r="B3435" t="s">
        <v>142</v>
      </c>
      <c r="C3435">
        <v>51290</v>
      </c>
      <c r="D3435">
        <v>170</v>
      </c>
    </row>
    <row r="3436" spans="1:4" x14ac:dyDescent="0.25">
      <c r="A3436" t="str">
        <f>T("   392410")</f>
        <v xml:space="preserve">   392410</v>
      </c>
      <c r="B3436" t="str">
        <f>T("   Vaisselle et autres articles pour le service de la table ou de la cuisine, en matières plastiques")</f>
        <v xml:space="preserve">   Vaisselle et autres articles pour le service de la table ou de la cuisine, en matières plastiques</v>
      </c>
      <c r="C3436">
        <v>38964</v>
      </c>
      <c r="D3436">
        <v>1700</v>
      </c>
    </row>
    <row r="3437" spans="1:4" x14ac:dyDescent="0.25">
      <c r="A3437" t="str">
        <f>T("   392490")</f>
        <v xml:space="preserve">   392490</v>
      </c>
      <c r="B3437" t="s">
        <v>143</v>
      </c>
      <c r="C3437">
        <v>1430033</v>
      </c>
      <c r="D3437">
        <v>1084</v>
      </c>
    </row>
    <row r="3438" spans="1:4" x14ac:dyDescent="0.25">
      <c r="A3438" t="str">
        <f>T("   392690")</f>
        <v xml:space="preserve">   392690</v>
      </c>
      <c r="B3438" t="str">
        <f>T("   Ouvrages en matières plastiques et ouvrages en autres matières du n° 3901 à 3914, n.d.a.")</f>
        <v xml:space="preserve">   Ouvrages en matières plastiques et ouvrages en autres matières du n° 3901 à 3914, n.d.a.</v>
      </c>
      <c r="C3438">
        <v>226634</v>
      </c>
      <c r="D3438">
        <v>540</v>
      </c>
    </row>
    <row r="3439" spans="1:4" x14ac:dyDescent="0.25">
      <c r="A3439" t="str">
        <f>T("   401039")</f>
        <v xml:space="preserve">   401039</v>
      </c>
      <c r="B3439" t="s">
        <v>151</v>
      </c>
      <c r="C3439">
        <v>310151</v>
      </c>
      <c r="D3439">
        <v>17</v>
      </c>
    </row>
    <row r="3440" spans="1:4" x14ac:dyDescent="0.25">
      <c r="A3440" t="str">
        <f>T("   401120")</f>
        <v xml:space="preserve">   401120</v>
      </c>
      <c r="B3440"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3440">
        <v>19936592</v>
      </c>
      <c r="D3440">
        <v>5976</v>
      </c>
    </row>
    <row r="3441" spans="1:4" x14ac:dyDescent="0.25">
      <c r="A3441" t="str">
        <f>T("   401290")</f>
        <v xml:space="preserve">   401290</v>
      </c>
      <c r="B3441" t="str">
        <f>T("   Bandages pleins ou creux [mi-pleins], bandes de roulement amovibles pour pneumatiques et flaps, en caoutchouc")</f>
        <v xml:space="preserve">   Bandages pleins ou creux [mi-pleins], bandes de roulement amovibles pour pneumatiques et flaps, en caoutchouc</v>
      </c>
      <c r="C3441">
        <v>560846</v>
      </c>
      <c r="D3441">
        <v>1600</v>
      </c>
    </row>
    <row r="3442" spans="1:4" x14ac:dyDescent="0.25">
      <c r="A3442" t="str">
        <f>T("   420229")</f>
        <v xml:space="preserve">   420229</v>
      </c>
      <c r="B3442"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3442">
        <v>1033701</v>
      </c>
      <c r="D3442">
        <v>2820</v>
      </c>
    </row>
    <row r="3443" spans="1:4" x14ac:dyDescent="0.25">
      <c r="A3443" t="str">
        <f>T("   441520")</f>
        <v xml:space="preserve">   441520</v>
      </c>
      <c r="B3443" t="str">
        <f>T("   Palettes simples, palettes-caisses et autres plateaux de chargement, en bois; rehausses de palettes en bois (à l'excl. des cadres et conteneurs spécialement conçus et équipés pour un ou plusieurs modes de transport)")</f>
        <v xml:space="preserve">   Palettes simples, palettes-caisses et autres plateaux de chargement, en bois; rehausses de palettes en bois (à l'excl. des cadres et conteneurs spécialement conçus et équipés pour un ou plusieurs modes de transport)</v>
      </c>
      <c r="C3443">
        <v>267041</v>
      </c>
      <c r="D3443">
        <v>50</v>
      </c>
    </row>
    <row r="3444" spans="1:4" x14ac:dyDescent="0.25">
      <c r="A3444" t="str">
        <f>T("   442190")</f>
        <v xml:space="preserve">   442190</v>
      </c>
      <c r="B3444" t="str">
        <f>T("   Ouvrages, en bois, n.d.a.")</f>
        <v xml:space="preserve">   Ouvrages, en bois, n.d.a.</v>
      </c>
      <c r="C3444">
        <v>25710352</v>
      </c>
      <c r="D3444">
        <v>5408</v>
      </c>
    </row>
    <row r="3445" spans="1:4" x14ac:dyDescent="0.25">
      <c r="A3445" t="str">
        <f>T("   480210")</f>
        <v xml:space="preserve">   480210</v>
      </c>
      <c r="B3445" t="str">
        <f>T("   Papiers et cartons formés feuille à feuille [papiers à la main], de tout format et de toute forme")</f>
        <v xml:space="preserve">   Papiers et cartons formés feuille à feuille [papiers à la main], de tout format et de toute forme</v>
      </c>
      <c r="C3445">
        <v>3503</v>
      </c>
      <c r="D3445">
        <v>5</v>
      </c>
    </row>
    <row r="3446" spans="1:4" x14ac:dyDescent="0.25">
      <c r="A3446" t="str">
        <f>T("   481840")</f>
        <v xml:space="preserve">   481840</v>
      </c>
      <c r="B3446"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3446">
        <v>3724823</v>
      </c>
      <c r="D3446">
        <v>14027</v>
      </c>
    </row>
    <row r="3447" spans="1:4" x14ac:dyDescent="0.25">
      <c r="A3447" t="str">
        <f>T("   481910")</f>
        <v xml:space="preserve">   481910</v>
      </c>
      <c r="B3447" t="str">
        <f>T("   Boîtes et caisses en papier ou en carton ondulé")</f>
        <v xml:space="preserve">   Boîtes et caisses en papier ou en carton ondulé</v>
      </c>
      <c r="C3447">
        <v>40717</v>
      </c>
      <c r="D3447">
        <v>118</v>
      </c>
    </row>
    <row r="3448" spans="1:4" x14ac:dyDescent="0.25">
      <c r="A3448" t="str">
        <f>T("   481920")</f>
        <v xml:space="preserve">   481920</v>
      </c>
      <c r="B3448" t="str">
        <f>T("   Boîtes et cartonnages, pliants, en papier ou en carton non ondulé")</f>
        <v xml:space="preserve">   Boîtes et cartonnages, pliants, en papier ou en carton non ondulé</v>
      </c>
      <c r="C3448">
        <v>12827991</v>
      </c>
      <c r="D3448">
        <v>47639</v>
      </c>
    </row>
    <row r="3449" spans="1:4" x14ac:dyDescent="0.25">
      <c r="A3449" t="str">
        <f>T("   481950")</f>
        <v xml:space="preserve">   481950</v>
      </c>
      <c r="B3449" t="s">
        <v>214</v>
      </c>
      <c r="C3449">
        <v>1968</v>
      </c>
      <c r="D3449">
        <v>10</v>
      </c>
    </row>
    <row r="3450" spans="1:4" x14ac:dyDescent="0.25">
      <c r="A3450" t="str">
        <f>T("   482010")</f>
        <v xml:space="preserve">   482010</v>
      </c>
      <c r="B3450"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3450">
        <v>15743</v>
      </c>
      <c r="D3450">
        <v>13</v>
      </c>
    </row>
    <row r="3451" spans="1:4" x14ac:dyDescent="0.25">
      <c r="A3451" t="str">
        <f>T("   490199")</f>
        <v xml:space="preserve">   490199</v>
      </c>
      <c r="B345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451">
        <v>3896981</v>
      </c>
      <c r="D3451">
        <v>4032</v>
      </c>
    </row>
    <row r="3452" spans="1:4" x14ac:dyDescent="0.25">
      <c r="A3452" t="str">
        <f>T("   490599")</f>
        <v xml:space="preserve">   490599</v>
      </c>
      <c r="B3452"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3452">
        <v>9275852</v>
      </c>
      <c r="D3452">
        <v>1576</v>
      </c>
    </row>
    <row r="3453" spans="1:4" x14ac:dyDescent="0.25">
      <c r="A3453" t="str">
        <f>T("   491000")</f>
        <v xml:space="preserve">   491000</v>
      </c>
      <c r="B3453" t="str">
        <f>T("   Calendriers de tous genres, imprimés, y.c. les blocs de calendriers à effeuiller")</f>
        <v xml:space="preserve">   Calendriers de tous genres, imprimés, y.c. les blocs de calendriers à effeuiller</v>
      </c>
      <c r="C3453">
        <v>64363</v>
      </c>
      <c r="D3453">
        <v>26</v>
      </c>
    </row>
    <row r="3454" spans="1:4" x14ac:dyDescent="0.25">
      <c r="A3454" t="str">
        <f>T("   491110")</f>
        <v xml:space="preserve">   491110</v>
      </c>
      <c r="B3454" t="str">
        <f>T("   Imprimés publicitaires, catalogues commerciaux et simil.")</f>
        <v xml:space="preserve">   Imprimés publicitaires, catalogues commerciaux et simil.</v>
      </c>
      <c r="C3454">
        <v>168313</v>
      </c>
      <c r="D3454">
        <v>621.5</v>
      </c>
    </row>
    <row r="3455" spans="1:4" x14ac:dyDescent="0.25">
      <c r="A3455" t="str">
        <f>T("   520951")</f>
        <v xml:space="preserve">   520951</v>
      </c>
      <c r="B3455" t="str">
        <f>T("   Tissus de coton, imprimés, à armure toile, contenant &gt;= 85% en poids de coton, d'un poids &gt; 200 g/m²")</f>
        <v xml:space="preserve">   Tissus de coton, imprimés, à armure toile, contenant &gt;= 85% en poids de coton, d'un poids &gt; 200 g/m²</v>
      </c>
      <c r="C3455">
        <v>12000132</v>
      </c>
      <c r="D3455">
        <v>16568</v>
      </c>
    </row>
    <row r="3456" spans="1:4" x14ac:dyDescent="0.25">
      <c r="A3456" t="str">
        <f>T("   530890")</f>
        <v xml:space="preserve">   530890</v>
      </c>
      <c r="B3456" t="str">
        <f>T("   Fils de fibres textiles végétales (à l'excl. des fils de coton, de lin, de coco, de chanvre, de jute ou d'autres fibres textiles libériennes du n° 5303)")</f>
        <v xml:space="preserve">   Fils de fibres textiles végétales (à l'excl. des fils de coton, de lin, de coco, de chanvre, de jute ou d'autres fibres textiles libériennes du n° 5303)</v>
      </c>
      <c r="C3456">
        <v>527392</v>
      </c>
      <c r="D3456">
        <v>500</v>
      </c>
    </row>
    <row r="3457" spans="1:4" x14ac:dyDescent="0.25">
      <c r="A3457" t="str">
        <f>T("   610910")</f>
        <v xml:space="preserve">   610910</v>
      </c>
      <c r="B3457" t="str">
        <f>T("   T-shirts et maillots de corps, en bonneterie, de coton,")</f>
        <v xml:space="preserve">   T-shirts et maillots de corps, en bonneterie, de coton,</v>
      </c>
      <c r="C3457">
        <v>1633251</v>
      </c>
      <c r="D3457">
        <v>1558</v>
      </c>
    </row>
    <row r="3458" spans="1:4" x14ac:dyDescent="0.25">
      <c r="A3458" t="str">
        <f>T("   620439")</f>
        <v xml:space="preserve">   620439</v>
      </c>
      <c r="B3458" t="str">
        <f>T("   Vestes de matières textiles, pour femmes ou fillettes (autres que laine, poils fins, coton ou fibres synthétiques, autres qu'en bonneterie et sauf anoraks et articles simil.)")</f>
        <v xml:space="preserve">   Vestes de matières textiles, pour femmes ou fillettes (autres que laine, poils fins, coton ou fibres synthétiques, autres qu'en bonneterie et sauf anoraks et articles simil.)</v>
      </c>
      <c r="C3458">
        <v>630647</v>
      </c>
      <c r="D3458">
        <v>650</v>
      </c>
    </row>
    <row r="3459" spans="1:4" x14ac:dyDescent="0.25">
      <c r="A3459" t="str">
        <f>T("   620590")</f>
        <v xml:space="preserve">   620590</v>
      </c>
      <c r="B345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459">
        <v>3311286</v>
      </c>
      <c r="D3459">
        <v>5020</v>
      </c>
    </row>
    <row r="3460" spans="1:4" x14ac:dyDescent="0.25">
      <c r="A3460" t="str">
        <f>T("   620690")</f>
        <v xml:space="preserve">   620690</v>
      </c>
      <c r="B3460" t="s">
        <v>263</v>
      </c>
      <c r="C3460">
        <v>4479046</v>
      </c>
      <c r="D3460">
        <v>1083</v>
      </c>
    </row>
    <row r="3461" spans="1:4" x14ac:dyDescent="0.25">
      <c r="A3461" t="str">
        <f>T("   621490")</f>
        <v xml:space="preserve">   621490</v>
      </c>
      <c r="B3461"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3461">
        <v>9859</v>
      </c>
      <c r="D3461">
        <v>850</v>
      </c>
    </row>
    <row r="3462" spans="1:4" x14ac:dyDescent="0.25">
      <c r="A3462" t="str">
        <f>T("   630629")</f>
        <v xml:space="preserve">   630629</v>
      </c>
      <c r="B3462" t="str">
        <f>T("   Tentes de matières textiles (autres que de coton ou fibres synthétiques et sauf paravents)")</f>
        <v xml:space="preserve">   Tentes de matières textiles (autres que de coton ou fibres synthétiques et sauf paravents)</v>
      </c>
      <c r="C3462">
        <v>6979893</v>
      </c>
      <c r="D3462">
        <v>4166</v>
      </c>
    </row>
    <row r="3463" spans="1:4" x14ac:dyDescent="0.25">
      <c r="A3463" t="str">
        <f>T("   630790")</f>
        <v xml:space="preserve">   630790</v>
      </c>
      <c r="B3463" t="str">
        <f>T("   Articles de matières textiles, confectionnés, y.c. les patrons de vêtements n.d.a.")</f>
        <v xml:space="preserve">   Articles de matières textiles, confectionnés, y.c. les patrons de vêtements n.d.a.</v>
      </c>
      <c r="C3463">
        <v>64712</v>
      </c>
      <c r="D3463">
        <v>400</v>
      </c>
    </row>
    <row r="3464" spans="1:4" x14ac:dyDescent="0.25">
      <c r="A3464" t="str">
        <f>T("   630900")</f>
        <v xml:space="preserve">   630900</v>
      </c>
      <c r="B3464" t="s">
        <v>273</v>
      </c>
      <c r="C3464">
        <v>166338725</v>
      </c>
      <c r="D3464">
        <v>342027</v>
      </c>
    </row>
    <row r="3465" spans="1:4" x14ac:dyDescent="0.25">
      <c r="A3465" t="str">
        <f>T("   640110")</f>
        <v xml:space="preserve">   640110</v>
      </c>
      <c r="B3465" t="s">
        <v>274</v>
      </c>
      <c r="C3465">
        <v>1497668</v>
      </c>
      <c r="D3465">
        <v>810</v>
      </c>
    </row>
    <row r="3466" spans="1:4" x14ac:dyDescent="0.25">
      <c r="A3466" t="str">
        <f>T("   640419")</f>
        <v xml:space="preserve">   640419</v>
      </c>
      <c r="B3466" t="s">
        <v>282</v>
      </c>
      <c r="C3466">
        <v>615485</v>
      </c>
      <c r="D3466">
        <v>1215</v>
      </c>
    </row>
    <row r="3467" spans="1:4" x14ac:dyDescent="0.25">
      <c r="A3467" t="str">
        <f>T("   640590")</f>
        <v xml:space="preserve">   640590</v>
      </c>
      <c r="B3467" t="s">
        <v>283</v>
      </c>
      <c r="C3467">
        <v>158086</v>
      </c>
      <c r="D3467">
        <v>39</v>
      </c>
    </row>
    <row r="3468" spans="1:4" x14ac:dyDescent="0.25">
      <c r="A3468" t="str">
        <f>T("   650699")</f>
        <v xml:space="preserve">   650699</v>
      </c>
      <c r="B3468" t="str">
        <f>T("   Chapeaux et autres coiffures, même garnis, n.d.a.")</f>
        <v xml:space="preserve">   Chapeaux et autres coiffures, même garnis, n.d.a.</v>
      </c>
      <c r="C3468">
        <v>13</v>
      </c>
      <c r="D3468">
        <v>1</v>
      </c>
    </row>
    <row r="3469" spans="1:4" x14ac:dyDescent="0.25">
      <c r="A3469" t="str">
        <f>T("   660199")</f>
        <v xml:space="preserve">   660199</v>
      </c>
      <c r="B3469"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3469">
        <v>535250</v>
      </c>
      <c r="D3469">
        <v>568</v>
      </c>
    </row>
    <row r="3470" spans="1:4" x14ac:dyDescent="0.25">
      <c r="A3470" t="str">
        <f>T("   680291")</f>
        <v xml:space="preserve">   680291</v>
      </c>
      <c r="B3470" t="s">
        <v>289</v>
      </c>
      <c r="C3470">
        <v>8123302</v>
      </c>
      <c r="D3470">
        <v>48873</v>
      </c>
    </row>
    <row r="3471" spans="1:4" x14ac:dyDescent="0.25">
      <c r="A3471" t="str">
        <f>T("   680293")</f>
        <v xml:space="preserve">   680293</v>
      </c>
      <c r="B3471" t="str">
        <f>T("   GRANIT DE N'IMPORTE QUELLE FORME, POLI, DÉCORÉ OU AUTREMENT TRAVAILLÉ (SAUF OUVRAGES DU 6802.10; BIJOUX DE FANTAISIE; PENDULES ET ARTICLES D'HORLOGERIE, APPAREILS D'ÉCLAIRAGE ET LEURS PARTIES; OBJETS D'ART ORIGINAUX SCULPTÉS)")</f>
        <v xml:space="preserve">   GRANIT DE N'IMPORTE QUELLE FORME, POLI, DÉCORÉ OU AUTREMENT TRAVAILLÉ (SAUF OUVRAGES DU 6802.10; BIJOUX DE FANTAISIE; PENDULES ET ARTICLES D'HORLOGERIE, APPAREILS D'ÉCLAIRAGE ET LEURS PARTIES; OBJETS D'ART ORIGINAUX SCULPTÉS)</v>
      </c>
      <c r="C3471">
        <v>7673421</v>
      </c>
      <c r="D3471">
        <v>18627</v>
      </c>
    </row>
    <row r="3472" spans="1:4" x14ac:dyDescent="0.25">
      <c r="A3472" t="str">
        <f>T("   680421")</f>
        <v xml:space="preserve">   680421</v>
      </c>
      <c r="B3472" t="s">
        <v>291</v>
      </c>
      <c r="C3472">
        <v>367429</v>
      </c>
      <c r="D3472">
        <v>315.89999999999998</v>
      </c>
    </row>
    <row r="3473" spans="1:4" x14ac:dyDescent="0.25">
      <c r="A3473" t="str">
        <f>T("   680422")</f>
        <v xml:space="preserve">   680422</v>
      </c>
      <c r="B3473" t="s">
        <v>292</v>
      </c>
      <c r="C3473">
        <v>2642870</v>
      </c>
      <c r="D3473">
        <v>1052.0999999999999</v>
      </c>
    </row>
    <row r="3474" spans="1:4" x14ac:dyDescent="0.25">
      <c r="A3474" t="str">
        <f>T("   680690")</f>
        <v xml:space="preserve">   680690</v>
      </c>
      <c r="B3474" t="s">
        <v>294</v>
      </c>
      <c r="C3474">
        <v>7281156</v>
      </c>
      <c r="D3474">
        <v>5112</v>
      </c>
    </row>
    <row r="3475" spans="1:4" x14ac:dyDescent="0.25">
      <c r="A3475" t="str">
        <f>T("   680710")</f>
        <v xml:space="preserve">   680710</v>
      </c>
      <c r="B3475" t="str">
        <f>T("   Ouvrages en asphalte ou en produits simil., p.ex. poix de pétrole, brais, en rouleaux")</f>
        <v xml:space="preserve">   Ouvrages en asphalte ou en produits simil., p.ex. poix de pétrole, brais, en rouleaux</v>
      </c>
      <c r="C3475">
        <v>15174782</v>
      </c>
      <c r="D3475">
        <v>61000</v>
      </c>
    </row>
    <row r="3476" spans="1:4" x14ac:dyDescent="0.25">
      <c r="A3476" t="str">
        <f>T("   680990")</f>
        <v xml:space="preserve">   680990</v>
      </c>
      <c r="B3476" t="s">
        <v>298</v>
      </c>
      <c r="C3476">
        <v>2433612</v>
      </c>
      <c r="D3476">
        <v>10080</v>
      </c>
    </row>
    <row r="3477" spans="1:4" x14ac:dyDescent="0.25">
      <c r="A3477" t="str">
        <f>T("   690220")</f>
        <v xml:space="preserve">   690220</v>
      </c>
      <c r="B3477" t="s">
        <v>301</v>
      </c>
      <c r="C3477">
        <v>117140681</v>
      </c>
      <c r="D3477">
        <v>139140</v>
      </c>
    </row>
    <row r="3478" spans="1:4" x14ac:dyDescent="0.25">
      <c r="A3478" t="str">
        <f>T("   690510")</f>
        <v xml:space="preserve">   690510</v>
      </c>
      <c r="B3478" t="str">
        <f>T("   Tuiles")</f>
        <v xml:space="preserve">   Tuiles</v>
      </c>
      <c r="C3478">
        <v>3967817</v>
      </c>
      <c r="D3478">
        <v>49728</v>
      </c>
    </row>
    <row r="3479" spans="1:4" x14ac:dyDescent="0.25">
      <c r="A3479" t="str">
        <f>T("   690590")</f>
        <v xml:space="preserve">   690590</v>
      </c>
      <c r="B3479" t="s">
        <v>304</v>
      </c>
      <c r="C3479">
        <v>446125</v>
      </c>
      <c r="D3479">
        <v>2712</v>
      </c>
    </row>
    <row r="3480" spans="1:4" x14ac:dyDescent="0.25">
      <c r="A3480" t="str">
        <f>T("   690790")</f>
        <v xml:space="preserve">   690790</v>
      </c>
      <c r="B3480" t="s">
        <v>306</v>
      </c>
      <c r="C3480">
        <v>11349420</v>
      </c>
      <c r="D3480">
        <v>103100</v>
      </c>
    </row>
    <row r="3481" spans="1:4" x14ac:dyDescent="0.25">
      <c r="A3481" t="str">
        <f>T("   690890")</f>
        <v xml:space="preserve">   690890</v>
      </c>
      <c r="B3481" t="s">
        <v>307</v>
      </c>
      <c r="C3481">
        <v>532206744</v>
      </c>
      <c r="D3481">
        <v>4357963</v>
      </c>
    </row>
    <row r="3482" spans="1:4" x14ac:dyDescent="0.25">
      <c r="A3482" t="str">
        <f>T("   691010")</f>
        <v xml:space="preserve">   691010</v>
      </c>
      <c r="B3482" t="s">
        <v>309</v>
      </c>
      <c r="C3482">
        <v>80424887</v>
      </c>
      <c r="D3482">
        <v>45392</v>
      </c>
    </row>
    <row r="3483" spans="1:4" x14ac:dyDescent="0.25">
      <c r="A3483" t="str">
        <f>T("   691090")</f>
        <v xml:space="preserve">   691090</v>
      </c>
      <c r="B3483" t="s">
        <v>310</v>
      </c>
      <c r="C3483">
        <v>30501213</v>
      </c>
      <c r="D3483">
        <v>39749</v>
      </c>
    </row>
    <row r="3484" spans="1:4" x14ac:dyDescent="0.25">
      <c r="A3484" t="str">
        <f>T("   700239")</f>
        <v xml:space="preserve">   700239</v>
      </c>
      <c r="B3484" t="str">
        <f>T("   Tubes en verre non travaillé (sauf à coefficient de dilatation linéaire &lt;= 5 x 10-6, par kelvin entre 0°C et 300°C et sauf en quartz fondu ou en un autre silice fondu)")</f>
        <v xml:space="preserve">   Tubes en verre non travaillé (sauf à coefficient de dilatation linéaire &lt;= 5 x 10-6, par kelvin entre 0°C et 300°C et sauf en quartz fondu ou en un autre silice fondu)</v>
      </c>
      <c r="C3484">
        <v>1376243</v>
      </c>
      <c r="D3484">
        <v>800</v>
      </c>
    </row>
    <row r="3485" spans="1:4" x14ac:dyDescent="0.25">
      <c r="A3485" t="str">
        <f>T("   700992")</f>
        <v xml:space="preserve">   700992</v>
      </c>
      <c r="B3485" t="str">
        <f>T("   Miroirs, en verre encadrés (sauf miroirs rétroviseurs pour véhicules)")</f>
        <v xml:space="preserve">   Miroirs, en verre encadrés (sauf miroirs rétroviseurs pour véhicules)</v>
      </c>
      <c r="C3485">
        <v>1445074</v>
      </c>
      <c r="D3485">
        <v>711.4</v>
      </c>
    </row>
    <row r="3486" spans="1:4" x14ac:dyDescent="0.25">
      <c r="A3486" t="str">
        <f>T("   701090")</f>
        <v xml:space="preserve">   701090</v>
      </c>
      <c r="B3486" t="s">
        <v>320</v>
      </c>
      <c r="C3486">
        <v>323200021</v>
      </c>
      <c r="D3486">
        <v>655314</v>
      </c>
    </row>
    <row r="3487" spans="1:4" x14ac:dyDescent="0.25">
      <c r="A3487" t="str">
        <f>T("   701329")</f>
        <v xml:space="preserve">   701329</v>
      </c>
      <c r="B3487" t="str">
        <f>T("   Verres à boire (autres qu'en vitrocérame, autres qu'en cristal au plomb)")</f>
        <v xml:space="preserve">   Verres à boire (autres qu'en vitrocérame, autres qu'en cristal au plomb)</v>
      </c>
      <c r="C3487">
        <v>84153</v>
      </c>
      <c r="D3487">
        <v>184</v>
      </c>
    </row>
    <row r="3488" spans="1:4" x14ac:dyDescent="0.25">
      <c r="A3488" t="str">
        <f>T("   701610")</f>
        <v xml:space="preserve">   701610</v>
      </c>
      <c r="B3488" t="str">
        <f>T("   Cubes, dés et autre verrerie même sur support, pour mosaïques ou décorations simil. (sauf panneaux et autres motifs décoratifs prêts à l'emploi en cubes de verre, pour mosaïques)")</f>
        <v xml:space="preserve">   Cubes, dés et autre verrerie même sur support, pour mosaïques ou décorations simil. (sauf panneaux et autres motifs décoratifs prêts à l'emploi en cubes de verre, pour mosaïques)</v>
      </c>
      <c r="C3488">
        <v>4928496</v>
      </c>
      <c r="D3488">
        <v>24896</v>
      </c>
    </row>
    <row r="3489" spans="1:4" x14ac:dyDescent="0.25">
      <c r="A3489" t="str">
        <f>T("   711719")</f>
        <v xml:space="preserve">   711719</v>
      </c>
      <c r="B3489" t="str">
        <f>T("   Bijouterie de fantaisie en métaux communs, même argentés, dorés ou platinés (à l'excl. des boutons de manchettes et des boutons simil.)")</f>
        <v xml:space="preserve">   Bijouterie de fantaisie en métaux communs, même argentés, dorés ou platinés (à l'excl. des boutons de manchettes et des boutons simil.)</v>
      </c>
      <c r="C3489">
        <v>510821</v>
      </c>
      <c r="D3489">
        <v>280</v>
      </c>
    </row>
    <row r="3490" spans="1:4" x14ac:dyDescent="0.25">
      <c r="A3490" t="str">
        <f>T("   722090")</f>
        <v xml:space="preserve">   722090</v>
      </c>
      <c r="B3490" t="str">
        <f>T("   Produits laminés plats, en aciers inoxydables, d'une largeur &lt; 600 mm, laminés à chaud ou à froid et ayant subi certaines ouvraisons plus poussées")</f>
        <v xml:space="preserve">   Produits laminés plats, en aciers inoxydables, d'une largeur &lt; 600 mm, laminés à chaud ou à froid et ayant subi certaines ouvraisons plus poussées</v>
      </c>
      <c r="C3490">
        <v>25090470</v>
      </c>
      <c r="D3490">
        <v>15178</v>
      </c>
    </row>
    <row r="3491" spans="1:4" x14ac:dyDescent="0.25">
      <c r="A3491" t="str">
        <f>T("   730799")</f>
        <v xml:space="preserve">   730799</v>
      </c>
      <c r="B3491"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3491">
        <v>2575299</v>
      </c>
      <c r="D3491">
        <v>5224</v>
      </c>
    </row>
    <row r="3492" spans="1:4" x14ac:dyDescent="0.25">
      <c r="A3492" t="str">
        <f>T("   730890")</f>
        <v xml:space="preserve">   730890</v>
      </c>
      <c r="B3492" t="s">
        <v>349</v>
      </c>
      <c r="C3492">
        <v>3564486</v>
      </c>
      <c r="D3492">
        <v>1780</v>
      </c>
    </row>
    <row r="3493" spans="1:4" x14ac:dyDescent="0.25">
      <c r="A3493" t="str">
        <f>T("   731210")</f>
        <v xml:space="preserve">   731210</v>
      </c>
      <c r="B3493"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3493">
        <v>919657</v>
      </c>
      <c r="D3493">
        <v>175</v>
      </c>
    </row>
    <row r="3494" spans="1:4" x14ac:dyDescent="0.25">
      <c r="A3494" t="str">
        <f>T("   731815")</f>
        <v xml:space="preserve">   731815</v>
      </c>
      <c r="B3494" t="s">
        <v>354</v>
      </c>
      <c r="C3494">
        <v>322077</v>
      </c>
      <c r="D3494">
        <v>137</v>
      </c>
    </row>
    <row r="3495" spans="1:4" x14ac:dyDescent="0.25">
      <c r="A3495" t="str">
        <f>T("   731819")</f>
        <v xml:space="preserve">   731819</v>
      </c>
      <c r="B3495" t="str">
        <f>T("   Articles de boulonnerie et de visserie, filetés, en fonte, fer ou acier, n.d.a.")</f>
        <v xml:space="preserve">   Articles de boulonnerie et de visserie, filetés, en fonte, fer ou acier, n.d.a.</v>
      </c>
      <c r="C3495">
        <v>3155168</v>
      </c>
      <c r="D3495">
        <v>480</v>
      </c>
    </row>
    <row r="3496" spans="1:4" x14ac:dyDescent="0.25">
      <c r="A3496" t="str">
        <f>T("   732393")</f>
        <v xml:space="preserve">   732393</v>
      </c>
      <c r="B3496" t="s">
        <v>361</v>
      </c>
      <c r="C3496">
        <v>6051962</v>
      </c>
      <c r="D3496">
        <v>3318</v>
      </c>
    </row>
    <row r="3497" spans="1:4" x14ac:dyDescent="0.25">
      <c r="A3497" t="str">
        <f>T("   732399")</f>
        <v xml:space="preserve">   732399</v>
      </c>
      <c r="B3497" t="s">
        <v>363</v>
      </c>
      <c r="C3497">
        <v>423717</v>
      </c>
      <c r="D3497">
        <v>1353</v>
      </c>
    </row>
    <row r="3498" spans="1:4" x14ac:dyDescent="0.25">
      <c r="A3498" t="str">
        <f>T("   732410")</f>
        <v xml:space="preserve">   732410</v>
      </c>
      <c r="B3498" t="str">
        <f>T("   ÉVIERS ET LAVABOS EN ACIER INOXYDABLE")</f>
        <v xml:space="preserve">   ÉVIERS ET LAVABOS EN ACIER INOXYDABLE</v>
      </c>
      <c r="C3498">
        <v>1092494</v>
      </c>
      <c r="D3498">
        <v>394</v>
      </c>
    </row>
    <row r="3499" spans="1:4" x14ac:dyDescent="0.25">
      <c r="A3499" t="str">
        <f>T("   732421")</f>
        <v xml:space="preserve">   732421</v>
      </c>
      <c r="B3499" t="str">
        <f>T("   Baignoires en fonte, également émaillées")</f>
        <v xml:space="preserve">   Baignoires en fonte, également émaillées</v>
      </c>
      <c r="C3499">
        <v>1342521</v>
      </c>
      <c r="D3499">
        <v>175</v>
      </c>
    </row>
    <row r="3500" spans="1:4" x14ac:dyDescent="0.25">
      <c r="A3500" t="str">
        <f>T("   732429")</f>
        <v xml:space="preserve">   732429</v>
      </c>
      <c r="B3500" t="str">
        <f>T("   Baignoires en tôle d'acier")</f>
        <v xml:space="preserve">   Baignoires en tôle d'acier</v>
      </c>
      <c r="C3500">
        <v>8152153</v>
      </c>
      <c r="D3500">
        <v>2444</v>
      </c>
    </row>
    <row r="3501" spans="1:4" x14ac:dyDescent="0.25">
      <c r="A3501" t="str">
        <f>T("   732490")</f>
        <v xml:space="preserve">   732490</v>
      </c>
      <c r="B3501" t="s">
        <v>364</v>
      </c>
      <c r="C3501">
        <v>4510480</v>
      </c>
      <c r="D3501">
        <v>600</v>
      </c>
    </row>
    <row r="3502" spans="1:4" x14ac:dyDescent="0.25">
      <c r="A3502" t="str">
        <f>T("   732690")</f>
        <v xml:space="preserve">   732690</v>
      </c>
      <c r="B3502"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3502">
        <v>154170053</v>
      </c>
      <c r="D3502">
        <v>64228.4</v>
      </c>
    </row>
    <row r="3503" spans="1:4" x14ac:dyDescent="0.25">
      <c r="A3503" t="str">
        <f>T("   761699")</f>
        <v xml:space="preserve">   761699</v>
      </c>
      <c r="B3503" t="str">
        <f>T("   Ouvrages en aluminium, n.d.a.")</f>
        <v xml:space="preserve">   Ouvrages en aluminium, n.d.a.</v>
      </c>
      <c r="C3503">
        <v>1811565</v>
      </c>
      <c r="D3503">
        <v>435.81</v>
      </c>
    </row>
    <row r="3504" spans="1:4" x14ac:dyDescent="0.25">
      <c r="A3504" t="str">
        <f>T("   820150")</f>
        <v xml:space="preserve">   820150</v>
      </c>
      <c r="B3504" t="str">
        <f>T("   Sécateurs et simil. maniés à une main, y.c. les -cisailles à volailles-, avec partie travaillante en métaux communs")</f>
        <v xml:space="preserve">   Sécateurs et simil. maniés à une main, y.c. les -cisailles à volailles-, avec partie travaillante en métaux communs</v>
      </c>
      <c r="C3504">
        <v>216362</v>
      </c>
      <c r="D3504">
        <v>24.76</v>
      </c>
    </row>
    <row r="3505" spans="1:4" x14ac:dyDescent="0.25">
      <c r="A3505" t="str">
        <f>T("   820160")</f>
        <v xml:space="preserve">   820160</v>
      </c>
      <c r="B3505" t="str">
        <f>T("   Cisailles à haies, sécateurs et outils simil. maniés à deux mains, avec partie travaillante en métaux communs")</f>
        <v xml:space="preserve">   Cisailles à haies, sécateurs et outils simil. maniés à deux mains, avec partie travaillante en métaux communs</v>
      </c>
      <c r="C3505">
        <v>796107</v>
      </c>
      <c r="D3505">
        <v>109.84</v>
      </c>
    </row>
    <row r="3506" spans="1:4" x14ac:dyDescent="0.25">
      <c r="A3506" t="str">
        <f>T("   820551")</f>
        <v xml:space="preserve">   820551</v>
      </c>
      <c r="B3506" t="str">
        <f>T("   Outils à main d'économie domestique, non mécaniques, avec partie travaillante en métaux communs, n.d.a.")</f>
        <v xml:space="preserve">   Outils à main d'économie domestique, non mécaniques, avec partie travaillante en métaux communs, n.d.a.</v>
      </c>
      <c r="C3506">
        <v>87105</v>
      </c>
      <c r="D3506">
        <v>12.18</v>
      </c>
    </row>
    <row r="3507" spans="1:4" x14ac:dyDescent="0.25">
      <c r="A3507" t="str">
        <f>T("   820559")</f>
        <v xml:space="preserve">   820559</v>
      </c>
      <c r="B3507" t="str">
        <f>T("   Outils à main, y.c. -les diamants de vitrier-, en métaux communs, n.d.a.")</f>
        <v xml:space="preserve">   Outils à main, y.c. -les diamants de vitrier-, en métaux communs, n.d.a.</v>
      </c>
      <c r="C3507">
        <v>2092808</v>
      </c>
      <c r="D3507">
        <v>303</v>
      </c>
    </row>
    <row r="3508" spans="1:4" x14ac:dyDescent="0.25">
      <c r="A3508" t="str">
        <f>T("   830140")</f>
        <v xml:space="preserve">   830140</v>
      </c>
      <c r="B3508"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3508">
        <v>4758550</v>
      </c>
      <c r="D3508">
        <v>751.95</v>
      </c>
    </row>
    <row r="3509" spans="1:4" x14ac:dyDescent="0.25">
      <c r="A3509" t="str">
        <f>T("   830170")</f>
        <v xml:space="preserve">   830170</v>
      </c>
      <c r="B3509" t="str">
        <f>T("   Clefs présentées isolément, pour cadenas, serrures et verrous, ainsi que pour fermoirs et montures-fermoirs avec serrure, en métaux communs")</f>
        <v xml:space="preserve">   Clefs présentées isolément, pour cadenas, serrures et verrous, ainsi que pour fermoirs et montures-fermoirs avec serrure, en métaux communs</v>
      </c>
      <c r="C3509">
        <v>263040</v>
      </c>
      <c r="D3509">
        <v>47</v>
      </c>
    </row>
    <row r="3510" spans="1:4" x14ac:dyDescent="0.25">
      <c r="A3510" t="str">
        <f>T("   830210")</f>
        <v xml:space="preserve">   830210</v>
      </c>
      <c r="B3510" t="str">
        <f>T("   Charnières de tous genres, y.c. les paumelles et pentures, en métaux communs")</f>
        <v xml:space="preserve">   Charnières de tous genres, y.c. les paumelles et pentures, en métaux communs</v>
      </c>
      <c r="C3510">
        <v>6799898</v>
      </c>
      <c r="D3510">
        <v>1068.3900000000001</v>
      </c>
    </row>
    <row r="3511" spans="1:4" x14ac:dyDescent="0.25">
      <c r="A3511" t="str">
        <f>T("   830241")</f>
        <v xml:space="preserve">   830241</v>
      </c>
      <c r="B3511"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3511">
        <v>1566439</v>
      </c>
      <c r="D3511">
        <v>242.97</v>
      </c>
    </row>
    <row r="3512" spans="1:4" x14ac:dyDescent="0.25">
      <c r="A3512" t="str">
        <f>T("   830242")</f>
        <v xml:space="preserve">   830242</v>
      </c>
      <c r="B3512" t="str">
        <f>T("   GARNITURES, FERRURES ET SIMIL., POUR MEUBLES, EN MÉTAUX COMMUNS (SAUF SERRURES ET VERROUS DE S¹RETÉ À CLEF ET SAUF CHARNIÈRES ET ROULETTES)")</f>
        <v xml:space="preserve">   GARNITURES, FERRURES ET SIMIL., POUR MEUBLES, EN MÉTAUX COMMUNS (SAUF SERRURES ET VERROUS DE S¹RETÉ À CLEF ET SAUF CHARNIÈRES ET ROULETTES)</v>
      </c>
      <c r="C3512">
        <v>186948</v>
      </c>
      <c r="D3512">
        <v>37</v>
      </c>
    </row>
    <row r="3513" spans="1:4" x14ac:dyDescent="0.25">
      <c r="A3513" t="str">
        <f>T("   830249")</f>
        <v xml:space="preserve">   830249</v>
      </c>
      <c r="B3513" t="s">
        <v>381</v>
      </c>
      <c r="C3513">
        <v>487477</v>
      </c>
      <c r="D3513">
        <v>75.13</v>
      </c>
    </row>
    <row r="3514" spans="1:4" x14ac:dyDescent="0.25">
      <c r="A3514" t="str">
        <f>T("   830250")</f>
        <v xml:space="preserve">   830250</v>
      </c>
      <c r="B3514" t="str">
        <f>T("   Patères, porte-chapeaux, supports et articles simil. en métaux communs")</f>
        <v xml:space="preserve">   Patères, porte-chapeaux, supports et articles simil. en métaux communs</v>
      </c>
      <c r="C3514">
        <v>3555913</v>
      </c>
      <c r="D3514">
        <v>785.97</v>
      </c>
    </row>
    <row r="3515" spans="1:4" x14ac:dyDescent="0.25">
      <c r="A3515" t="str">
        <f>T("   830300")</f>
        <v xml:space="preserve">   830300</v>
      </c>
      <c r="B3515"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3515">
        <v>10625358</v>
      </c>
      <c r="D3515">
        <v>3596.7</v>
      </c>
    </row>
    <row r="3516" spans="1:4" x14ac:dyDescent="0.25">
      <c r="A3516" t="str">
        <f>T("   830400")</f>
        <v xml:space="preserve">   830400</v>
      </c>
      <c r="B3516" t="str">
        <f>T("   Classeurs, fichiers, boîtes de classement, porte-copies, plumiers, porte-cachets et matériel et fournitures simil. de bureau, en métaux communs (à l'excl. des meubles de bureau du n° 9403 et des corbeilles à papier)")</f>
        <v xml:space="preserve">   Classeurs, fichiers, boîtes de classement, porte-copies, plumiers, porte-cachets et matériel et fournitures simil. de bureau, en métaux communs (à l'excl. des meubles de bureau du n° 9403 et des corbeilles à papier)</v>
      </c>
      <c r="C3516">
        <v>975104</v>
      </c>
      <c r="D3516">
        <v>2506</v>
      </c>
    </row>
    <row r="3517" spans="1:4" x14ac:dyDescent="0.25">
      <c r="A3517" t="str">
        <f>T("   830910")</f>
        <v xml:space="preserve">   830910</v>
      </c>
      <c r="B3517" t="str">
        <f>T("   Bouchons-couronnes en métaux communs")</f>
        <v xml:space="preserve">   Bouchons-couronnes en métaux communs</v>
      </c>
      <c r="C3517">
        <v>219396357</v>
      </c>
      <c r="D3517">
        <v>101312</v>
      </c>
    </row>
    <row r="3518" spans="1:4" x14ac:dyDescent="0.25">
      <c r="A3518" t="str">
        <f>T("   831110")</f>
        <v xml:space="preserve">   831110</v>
      </c>
      <c r="B3518" t="str">
        <f>T("   ÉLECTRODES ENROBÉES EN MÉTAUX COMMUNS, POUR LE SOUDAGE À L'ARC")</f>
        <v xml:space="preserve">   ÉLECTRODES ENROBÉES EN MÉTAUX COMMUNS, POUR LE SOUDAGE À L'ARC</v>
      </c>
      <c r="C3518">
        <v>40670</v>
      </c>
      <c r="D3518">
        <v>110</v>
      </c>
    </row>
    <row r="3519" spans="1:4" x14ac:dyDescent="0.25">
      <c r="A3519" t="str">
        <f>T("   840890")</f>
        <v xml:space="preserve">   840890</v>
      </c>
      <c r="B3519" t="s">
        <v>394</v>
      </c>
      <c r="C3519">
        <v>4264396</v>
      </c>
      <c r="D3519">
        <v>500</v>
      </c>
    </row>
    <row r="3520" spans="1:4" x14ac:dyDescent="0.25">
      <c r="A3520" t="str">
        <f>T("   841090")</f>
        <v xml:space="preserve">   841090</v>
      </c>
      <c r="B3520" t="str">
        <f>T("   Parties de turbines hydrauliques ou de roues hydrauliques, n.d.a., ainsi que les régulateurs pour turbines hydrauliques")</f>
        <v xml:space="preserve">   Parties de turbines hydrauliques ou de roues hydrauliques, n.d.a., ainsi que les régulateurs pour turbines hydrauliques</v>
      </c>
      <c r="C3520">
        <v>250000</v>
      </c>
      <c r="D3520">
        <v>112</v>
      </c>
    </row>
    <row r="3521" spans="1:4" x14ac:dyDescent="0.25">
      <c r="A3521" t="str">
        <f>T("   841330")</f>
        <v xml:space="preserve">   841330</v>
      </c>
      <c r="B3521"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3521">
        <v>1600274</v>
      </c>
      <c r="D3521">
        <v>35</v>
      </c>
    </row>
    <row r="3522" spans="1:4" x14ac:dyDescent="0.25">
      <c r="A3522" t="str">
        <f>T("   841381")</f>
        <v xml:space="preserve">   841381</v>
      </c>
      <c r="B3522" t="s">
        <v>398</v>
      </c>
      <c r="C3522">
        <v>8312325</v>
      </c>
      <c r="D3522">
        <v>2123</v>
      </c>
    </row>
    <row r="3523" spans="1:4" x14ac:dyDescent="0.25">
      <c r="A3523" t="str">
        <f>T("   841440")</f>
        <v xml:space="preserve">   841440</v>
      </c>
      <c r="B3523" t="str">
        <f>T("   Compresseurs d'air montés sur châssis à roues et remorquables")</f>
        <v xml:space="preserve">   Compresseurs d'air montés sur châssis à roues et remorquables</v>
      </c>
      <c r="C3523">
        <v>595205</v>
      </c>
      <c r="D3523">
        <v>1450</v>
      </c>
    </row>
    <row r="3524" spans="1:4" x14ac:dyDescent="0.25">
      <c r="A3524" t="str">
        <f>T("   841460")</f>
        <v xml:space="preserve">   841460</v>
      </c>
      <c r="B3524" t="str">
        <f>T("   Hottes aspirantes à extraction ou à recyclage par filtre, à ventilateur incorporé, plus grand côté horizontal &lt;= 120 cm")</f>
        <v xml:space="preserve">   Hottes aspirantes à extraction ou à recyclage par filtre, à ventilateur incorporé, plus grand côté horizontal &lt;= 120 cm</v>
      </c>
      <c r="C3524">
        <v>245985</v>
      </c>
      <c r="D3524">
        <v>600</v>
      </c>
    </row>
    <row r="3525" spans="1:4" x14ac:dyDescent="0.25">
      <c r="A3525" t="str">
        <f>T("   841480")</f>
        <v xml:space="preserve">   841480</v>
      </c>
      <c r="B3525" t="s">
        <v>399</v>
      </c>
      <c r="C3525">
        <v>3359826</v>
      </c>
      <c r="D3525">
        <v>1087</v>
      </c>
    </row>
    <row r="3526" spans="1:4" x14ac:dyDescent="0.25">
      <c r="A3526" t="str">
        <f>T("   841720")</f>
        <v xml:space="preserve">   841720</v>
      </c>
      <c r="B3526" t="str">
        <f>T("   Fours non-électriques, de boulangerie, de pâtisserie ou de biscuiterie")</f>
        <v xml:space="preserve">   Fours non-électriques, de boulangerie, de pâtisserie ou de biscuiterie</v>
      </c>
      <c r="C3526">
        <v>4855416</v>
      </c>
      <c r="D3526">
        <v>353</v>
      </c>
    </row>
    <row r="3527" spans="1:4" x14ac:dyDescent="0.25">
      <c r="A3527" t="str">
        <f>T("   841829")</f>
        <v xml:space="preserve">   841829</v>
      </c>
      <c r="B3527" t="str">
        <f>T("   Réfrigérateurs ménagers à absorption, non-électriques")</f>
        <v xml:space="preserve">   Réfrigérateurs ménagers à absorption, non-électriques</v>
      </c>
      <c r="C3527">
        <v>39402517</v>
      </c>
      <c r="D3527">
        <v>12710</v>
      </c>
    </row>
    <row r="3528" spans="1:4" x14ac:dyDescent="0.25">
      <c r="A3528" t="str">
        <f>T("   841869")</f>
        <v xml:space="preserve">   841869</v>
      </c>
      <c r="B3528"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3528">
        <v>3066613</v>
      </c>
      <c r="D3528">
        <v>218</v>
      </c>
    </row>
    <row r="3529" spans="1:4" x14ac:dyDescent="0.25">
      <c r="A3529" t="str">
        <f>T("   841939")</f>
        <v xml:space="preserve">   841939</v>
      </c>
      <c r="B3529" t="str">
        <f>T("   Séchoirs (sauf pour produits agricoles, pâtes à papier, papier ou carton, pour fils, tissus ou autres matières textiles, pour bouteilles ou autres récipients, sèche-cheveux, sèche-mains et sauf appareils ménagers)")</f>
        <v xml:space="preserve">   Séchoirs (sauf pour produits agricoles, pâtes à papier, papier ou carton, pour fils, tissus ou autres matières textiles, pour bouteilles ou autres récipients, sèche-cheveux, sèche-mains et sauf appareils ménagers)</v>
      </c>
      <c r="C3529">
        <v>1219364</v>
      </c>
      <c r="D3529">
        <v>50</v>
      </c>
    </row>
    <row r="3530" spans="1:4" x14ac:dyDescent="0.25">
      <c r="A3530" t="str">
        <f>T("   841990")</f>
        <v xml:space="preserve">   841990</v>
      </c>
      <c r="B3530" t="str">
        <f>T("   Parties d'appareils et dispositifs, même chauffés électriquement, pour le traitement de matières par des opérations impliquant un changement de température, ainsi que de chauffe-eau non-électriques à chauffage instantané ou à accumulation, n.d.a.")</f>
        <v xml:space="preserve">   Parties d'appareils et dispositifs, même chauffés électriquement, pour le traitement de matières par des opérations impliquant un changement de température, ainsi que de chauffe-eau non-électriques à chauffage instantané ou à accumulation, n.d.a.</v>
      </c>
      <c r="C3530">
        <v>316173</v>
      </c>
      <c r="D3530">
        <v>80</v>
      </c>
    </row>
    <row r="3531" spans="1:4" x14ac:dyDescent="0.25">
      <c r="A3531" t="str">
        <f>T("   842219")</f>
        <v xml:space="preserve">   842219</v>
      </c>
      <c r="B3531" t="str">
        <f>T("   Machines à laver la vaisselle (autres que de type ménager)")</f>
        <v xml:space="preserve">   Machines à laver la vaisselle (autres que de type ménager)</v>
      </c>
      <c r="C3531">
        <v>39358</v>
      </c>
      <c r="D3531">
        <v>120</v>
      </c>
    </row>
    <row r="3532" spans="1:4" x14ac:dyDescent="0.25">
      <c r="A3532" t="str">
        <f>T("   842481")</f>
        <v xml:space="preserve">   842481</v>
      </c>
      <c r="B3532"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3532">
        <v>82598</v>
      </c>
      <c r="D3532">
        <v>9.4499999999999993</v>
      </c>
    </row>
    <row r="3533" spans="1:4" x14ac:dyDescent="0.25">
      <c r="A3533" t="str">
        <f>T("   842490")</f>
        <v xml:space="preserve">   842490</v>
      </c>
      <c r="B3533" t="s">
        <v>410</v>
      </c>
      <c r="C3533">
        <v>54831</v>
      </c>
      <c r="D3533">
        <v>7.14</v>
      </c>
    </row>
    <row r="3534" spans="1:4" x14ac:dyDescent="0.25">
      <c r="A3534" t="str">
        <f>T("   842542")</f>
        <v xml:space="preserve">   842542</v>
      </c>
      <c r="B3534" t="str">
        <f>T("   Crics et vérins, hydrauliques (sauf élévateurs fixes des types utilisés dans les garages pour voitures)")</f>
        <v xml:space="preserve">   Crics et vérins, hydrauliques (sauf élévateurs fixes des types utilisés dans les garages pour voitures)</v>
      </c>
      <c r="C3534">
        <v>290590</v>
      </c>
      <c r="D3534">
        <v>67</v>
      </c>
    </row>
    <row r="3535" spans="1:4" x14ac:dyDescent="0.25">
      <c r="A3535" t="str">
        <f>T("   842810")</f>
        <v xml:space="preserve">   842810</v>
      </c>
      <c r="B3535" t="str">
        <f>T("   Ascenseurs et monte-charge")</f>
        <v xml:space="preserve">   Ascenseurs et monte-charge</v>
      </c>
      <c r="C3535">
        <v>27359698</v>
      </c>
      <c r="D3535">
        <v>11880</v>
      </c>
    </row>
    <row r="3536" spans="1:4" x14ac:dyDescent="0.25">
      <c r="A3536" t="str">
        <f>T("   842839")</f>
        <v xml:space="preserve">   842839</v>
      </c>
      <c r="B3536"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3536">
        <v>141649603</v>
      </c>
      <c r="D3536">
        <v>8080</v>
      </c>
    </row>
    <row r="3537" spans="1:4" x14ac:dyDescent="0.25">
      <c r="A3537" t="str">
        <f>T("   842940")</f>
        <v xml:space="preserve">   842940</v>
      </c>
      <c r="B3537" t="str">
        <f>T("   Rouleaux compresseurs et autres compacteuses, autopropulsés")</f>
        <v xml:space="preserve">   Rouleaux compresseurs et autres compacteuses, autopropulsés</v>
      </c>
      <c r="C3537">
        <v>1999848</v>
      </c>
      <c r="D3537">
        <v>22310</v>
      </c>
    </row>
    <row r="3538" spans="1:4" x14ac:dyDescent="0.25">
      <c r="A3538" t="str">
        <f>T("   843069")</f>
        <v xml:space="preserve">   843069</v>
      </c>
      <c r="B3538"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3538">
        <v>8952820</v>
      </c>
      <c r="D3538">
        <v>35500</v>
      </c>
    </row>
    <row r="3539" spans="1:4" x14ac:dyDescent="0.25">
      <c r="A3539" t="str">
        <f>T("   843149")</f>
        <v xml:space="preserve">   843149</v>
      </c>
      <c r="B3539" t="str">
        <f>T("   Parties de machines et appareils du n° 8426, 8429 ou 8430, n.d.a.")</f>
        <v xml:space="preserve">   Parties de machines et appareils du n° 8426, 8429 ou 8430, n.d.a.</v>
      </c>
      <c r="C3539">
        <v>1253260</v>
      </c>
      <c r="D3539">
        <v>21</v>
      </c>
    </row>
    <row r="3540" spans="1:4" x14ac:dyDescent="0.25">
      <c r="A3540" t="str">
        <f>T("   844110")</f>
        <v xml:space="preserve">   844110</v>
      </c>
      <c r="B3540" t="str">
        <f>T("   Coupeuses pour le travail de la pâte à papier, du papier ou du carton (sauf machines et appareils pour le brochage ou la reliure)")</f>
        <v xml:space="preserve">   Coupeuses pour le travail de la pâte à papier, du papier ou du carton (sauf machines et appareils pour le brochage ou la reliure)</v>
      </c>
      <c r="C3540">
        <v>262384</v>
      </c>
      <c r="D3540">
        <v>53</v>
      </c>
    </row>
    <row r="3541" spans="1:4" x14ac:dyDescent="0.25">
      <c r="A3541" t="str">
        <f>T("   844311")</f>
        <v xml:space="preserve">   844311</v>
      </c>
      <c r="B3541" t="str">
        <f>T("   Machines et appareils à imprimer, offset, alimentés en bobines")</f>
        <v xml:space="preserve">   Machines et appareils à imprimer, offset, alimentés en bobines</v>
      </c>
      <c r="C3541">
        <v>4334590</v>
      </c>
      <c r="D3541">
        <v>6000</v>
      </c>
    </row>
    <row r="3542" spans="1:4" x14ac:dyDescent="0.25">
      <c r="A3542" t="str">
        <f>T("   844319")</f>
        <v xml:space="preserve">   844319</v>
      </c>
      <c r="B3542" t="s">
        <v>420</v>
      </c>
      <c r="C3542">
        <v>8627120</v>
      </c>
      <c r="D3542">
        <v>15000</v>
      </c>
    </row>
    <row r="3543" spans="1:4" x14ac:dyDescent="0.25">
      <c r="A3543" t="str">
        <f>T("   844360")</f>
        <v xml:space="preserve">   844360</v>
      </c>
      <c r="B3543" t="str">
        <f>T("   Machines auxiliaires pour l'impression fabriquées spécialement pour les machines et appareils à imprimer, pour placer, transporter ou travailler autrement les feuilles de papier ou les bandes continues de papier")</f>
        <v xml:space="preserve">   Machines auxiliaires pour l'impression fabriquées spécialement pour les machines et appareils à imprimer, pour placer, transporter ou travailler autrement les feuilles de papier ou les bandes continues de papier</v>
      </c>
      <c r="C3543">
        <v>2500730</v>
      </c>
      <c r="D3543">
        <v>3000</v>
      </c>
    </row>
    <row r="3544" spans="1:4" x14ac:dyDescent="0.25">
      <c r="A3544" t="str">
        <f>T("   845011")</f>
        <v xml:space="preserve">   845011</v>
      </c>
      <c r="B3544" t="str">
        <f>T("   Machines à laver le linge entièrement automatiques, d'une capacité unitaire exprimée en poids de linge sec &lt;= 6 kg")</f>
        <v xml:space="preserve">   Machines à laver le linge entièrement automatiques, d'une capacité unitaire exprimée en poids de linge sec &lt;= 6 kg</v>
      </c>
      <c r="C3544">
        <v>470979</v>
      </c>
      <c r="D3544">
        <v>350</v>
      </c>
    </row>
    <row r="3545" spans="1:4" x14ac:dyDescent="0.25">
      <c r="A3545" t="str">
        <f>T("   846490")</f>
        <v xml:space="preserve">   846490</v>
      </c>
      <c r="B3545" t="s">
        <v>430</v>
      </c>
      <c r="C3545">
        <v>324845</v>
      </c>
      <c r="D3545">
        <v>27</v>
      </c>
    </row>
    <row r="3546" spans="1:4" x14ac:dyDescent="0.25">
      <c r="A3546" t="str">
        <f>T("   846691")</f>
        <v xml:space="preserve">   846691</v>
      </c>
      <c r="B3546" t="str">
        <f>T("   Parties et accessoires pour machines-outils pour le travail de la pierre, des produits céramiques, du béton, etc., y.c. le travail à froid du verre, n.d.a.")</f>
        <v xml:space="preserve">   Parties et accessoires pour machines-outils pour le travail de la pierre, des produits céramiques, du béton, etc., y.c. le travail à froid du verre, n.d.a.</v>
      </c>
      <c r="C3546">
        <v>24326473</v>
      </c>
      <c r="D3546">
        <v>4065</v>
      </c>
    </row>
    <row r="3547" spans="1:4" x14ac:dyDescent="0.25">
      <c r="A3547" t="str">
        <f>T("   846722")</f>
        <v xml:space="preserve">   846722</v>
      </c>
      <c r="B3547" t="str">
        <f>T("   Scies et tronçonneuses, à moteur électrique incorporé, pour emploi à la main")</f>
        <v xml:space="preserve">   Scies et tronçonneuses, à moteur électrique incorporé, pour emploi à la main</v>
      </c>
      <c r="C3547">
        <v>2805948</v>
      </c>
      <c r="D3547">
        <v>13050</v>
      </c>
    </row>
    <row r="3548" spans="1:4" x14ac:dyDescent="0.25">
      <c r="A3548" t="str">
        <f>T("   846729")</f>
        <v xml:space="preserve">   846729</v>
      </c>
      <c r="B3548" t="str">
        <f>T("   Outils électromécaniques à moteur électrique incorporé, pour emploi à la main (autres que scies et perceuses)")</f>
        <v xml:space="preserve">   Outils électromécaniques à moteur électrique incorporé, pour emploi à la main (autres que scies et perceuses)</v>
      </c>
      <c r="C3548">
        <v>4448471</v>
      </c>
      <c r="D3548">
        <v>464.55</v>
      </c>
    </row>
    <row r="3549" spans="1:4" x14ac:dyDescent="0.25">
      <c r="A3549" t="str">
        <f>T("   846789")</f>
        <v xml:space="preserve">   846789</v>
      </c>
      <c r="B3549"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3549">
        <v>2361456</v>
      </c>
      <c r="D3549">
        <v>499</v>
      </c>
    </row>
    <row r="3550" spans="1:4" x14ac:dyDescent="0.25">
      <c r="A3550" t="str">
        <f>T("   847141")</f>
        <v xml:space="preserve">   847141</v>
      </c>
      <c r="B3550" t="s">
        <v>434</v>
      </c>
      <c r="C3550">
        <v>262384</v>
      </c>
      <c r="D3550">
        <v>230</v>
      </c>
    </row>
    <row r="3551" spans="1:4" x14ac:dyDescent="0.25">
      <c r="A3551" t="str">
        <f>T("   847149")</f>
        <v xml:space="preserve">   847149</v>
      </c>
      <c r="B3551" t="s">
        <v>435</v>
      </c>
      <c r="C3551">
        <v>17055</v>
      </c>
      <c r="D3551">
        <v>300</v>
      </c>
    </row>
    <row r="3552" spans="1:4" x14ac:dyDescent="0.25">
      <c r="A3552" t="str">
        <f>T("   847190")</f>
        <v xml:space="preserve">   847190</v>
      </c>
      <c r="B3552"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552">
        <v>4194313</v>
      </c>
      <c r="D3552">
        <v>238</v>
      </c>
    </row>
    <row r="3553" spans="1:4" x14ac:dyDescent="0.25">
      <c r="A3553" t="str">
        <f>T("   847780")</f>
        <v xml:space="preserve">   847780</v>
      </c>
      <c r="B3553"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3553">
        <v>8951230</v>
      </c>
      <c r="D3553">
        <v>26500</v>
      </c>
    </row>
    <row r="3554" spans="1:4" x14ac:dyDescent="0.25">
      <c r="A3554" t="str">
        <f>T("   847920")</f>
        <v xml:space="preserve">   847920</v>
      </c>
      <c r="B3554" t="s">
        <v>439</v>
      </c>
      <c r="C3554">
        <v>18242</v>
      </c>
      <c r="D3554">
        <v>27</v>
      </c>
    </row>
    <row r="3555" spans="1:4" x14ac:dyDescent="0.25">
      <c r="A3555" t="str">
        <f>T("   847989")</f>
        <v xml:space="preserve">   847989</v>
      </c>
      <c r="B3555" t="str">
        <f>T("   Machines et appareils, y.c. les appareils mécaniques, n.d.a.")</f>
        <v xml:space="preserve">   Machines et appareils, y.c. les appareils mécaniques, n.d.a.</v>
      </c>
      <c r="C3555">
        <v>726331</v>
      </c>
      <c r="D3555">
        <v>27</v>
      </c>
    </row>
    <row r="3556" spans="1:4" x14ac:dyDescent="0.25">
      <c r="A3556" t="str">
        <f>T("   847990")</f>
        <v xml:space="preserve">   847990</v>
      </c>
      <c r="B3556" t="str">
        <f>T("   Parties de machines et appareils, y.c. les appareils mécaniques, n.d.a.")</f>
        <v xml:space="preserve">   Parties de machines et appareils, y.c. les appareils mécaniques, n.d.a.</v>
      </c>
      <c r="C3556">
        <v>13531412</v>
      </c>
      <c r="D3556">
        <v>10080</v>
      </c>
    </row>
    <row r="3557" spans="1:4" x14ac:dyDescent="0.25">
      <c r="A3557" t="str">
        <f>T("   848180")</f>
        <v xml:space="preserve">   848180</v>
      </c>
      <c r="B3557"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557">
        <v>19904535</v>
      </c>
      <c r="D3557">
        <v>10620</v>
      </c>
    </row>
    <row r="3558" spans="1:4" x14ac:dyDescent="0.25">
      <c r="A3558" t="str">
        <f>T("   848190")</f>
        <v xml:space="preserve">   848190</v>
      </c>
      <c r="B3558" t="str">
        <f>T("   Parties d'articles de robinetterie et organes simil. pour tuyauterie, etc., n.d.a.")</f>
        <v xml:space="preserve">   Parties d'articles de robinetterie et organes simil. pour tuyauterie, etc., n.d.a.</v>
      </c>
      <c r="C3558">
        <v>214689</v>
      </c>
      <c r="D3558">
        <v>616</v>
      </c>
    </row>
    <row r="3559" spans="1:4" x14ac:dyDescent="0.25">
      <c r="A3559" t="str">
        <f>T("   850211")</f>
        <v xml:space="preserve">   850211</v>
      </c>
      <c r="B3559" t="s">
        <v>444</v>
      </c>
      <c r="C3559">
        <v>50012227</v>
      </c>
      <c r="D3559">
        <v>9069</v>
      </c>
    </row>
    <row r="3560" spans="1:4" x14ac:dyDescent="0.25">
      <c r="A3560" t="str">
        <f>T("   850212")</f>
        <v xml:space="preserve">   850212</v>
      </c>
      <c r="B3560"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3560">
        <v>23745975</v>
      </c>
      <c r="D3560">
        <v>5020</v>
      </c>
    </row>
    <row r="3561" spans="1:4" x14ac:dyDescent="0.25">
      <c r="A3561" t="str">
        <f>T("   850213")</f>
        <v xml:space="preserve">   850213</v>
      </c>
      <c r="B3561" t="s">
        <v>445</v>
      </c>
      <c r="C3561">
        <v>36812344</v>
      </c>
      <c r="D3561">
        <v>4838</v>
      </c>
    </row>
    <row r="3562" spans="1:4" x14ac:dyDescent="0.25">
      <c r="A3562" t="str">
        <f>T("   850300")</f>
        <v xml:space="preserve">   850300</v>
      </c>
      <c r="B3562"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3562">
        <v>2261579</v>
      </c>
      <c r="D3562">
        <v>72</v>
      </c>
    </row>
    <row r="3563" spans="1:4" x14ac:dyDescent="0.25">
      <c r="A3563" t="str">
        <f>T("   850421")</f>
        <v xml:space="preserve">   850421</v>
      </c>
      <c r="B3563" t="str">
        <f>T("   Transformateurs à diélectrique liquide, puissance &lt;= 650 kVA")</f>
        <v xml:space="preserve">   Transformateurs à diélectrique liquide, puissance &lt;= 650 kVA</v>
      </c>
      <c r="C3563">
        <v>1968</v>
      </c>
      <c r="D3563">
        <v>1</v>
      </c>
    </row>
    <row r="3564" spans="1:4" x14ac:dyDescent="0.25">
      <c r="A3564" t="str">
        <f>T("   850440")</f>
        <v xml:space="preserve">   850440</v>
      </c>
      <c r="B3564" t="str">
        <f>T("   CONVERTISSEURS STATIQUES")</f>
        <v xml:space="preserve">   CONVERTISSEURS STATIQUES</v>
      </c>
      <c r="C3564">
        <v>300000</v>
      </c>
      <c r="D3564">
        <v>100</v>
      </c>
    </row>
    <row r="3565" spans="1:4" x14ac:dyDescent="0.25">
      <c r="A3565" t="str">
        <f>T("   850910")</f>
        <v xml:space="preserve">   850910</v>
      </c>
      <c r="B3565"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3565">
        <v>592463</v>
      </c>
      <c r="D3565">
        <v>24.45</v>
      </c>
    </row>
    <row r="3566" spans="1:4" x14ac:dyDescent="0.25">
      <c r="A3566" t="str">
        <f>T("   850940")</f>
        <v xml:space="preserve">   850940</v>
      </c>
      <c r="B3566"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3566">
        <v>4198382</v>
      </c>
      <c r="D3566">
        <v>1263</v>
      </c>
    </row>
    <row r="3567" spans="1:4" x14ac:dyDescent="0.25">
      <c r="A3567" t="str">
        <f>T("   851220")</f>
        <v xml:space="preserve">   851220</v>
      </c>
      <c r="B3567" t="str">
        <f>T("   Appareils électriques d'éclairage ou de signalisation visuelle, pour automobiles (à l'excl. des lampes du n° 8539)")</f>
        <v xml:space="preserve">   Appareils électriques d'éclairage ou de signalisation visuelle, pour automobiles (à l'excl. des lampes du n° 8539)</v>
      </c>
      <c r="C3567">
        <v>383736</v>
      </c>
      <c r="D3567">
        <v>154</v>
      </c>
    </row>
    <row r="3568" spans="1:4" x14ac:dyDescent="0.25">
      <c r="A3568" t="str">
        <f>T("   851410")</f>
        <v xml:space="preserve">   851410</v>
      </c>
      <c r="B3568" t="str">
        <f>T("   Fours à résistance -à chauffage indirect-, industriels ou de laboratoires (à l'excl. des étuves)")</f>
        <v xml:space="preserve">   Fours à résistance -à chauffage indirect-, industriels ou de laboratoires (à l'excl. des étuves)</v>
      </c>
      <c r="C3568">
        <v>1787491</v>
      </c>
      <c r="D3568">
        <v>120</v>
      </c>
    </row>
    <row r="3569" spans="1:4" x14ac:dyDescent="0.25">
      <c r="A3569" t="str">
        <f>T("   851521")</f>
        <v xml:space="preserve">   851521</v>
      </c>
      <c r="B3569" t="str">
        <f>T("   Machines et appareils pour le soudage des métaux par résistance, entièrement ou partiellement automatiques")</f>
        <v xml:space="preserve">   Machines et appareils pour le soudage des métaux par résistance, entièrement ou partiellement automatiques</v>
      </c>
      <c r="C3569">
        <v>2322748</v>
      </c>
      <c r="D3569">
        <v>123</v>
      </c>
    </row>
    <row r="3570" spans="1:4" x14ac:dyDescent="0.25">
      <c r="A3570" t="str">
        <f>T("   851539")</f>
        <v xml:space="preserve">   851539</v>
      </c>
      <c r="B3570" t="str">
        <f>T("   MACHINES ET APPAREILS POUR LE SOUDAGE DES MÉTAUX À L'ARC OU AU JET DE PLASMA, NON-AUTOMATIQUES")</f>
        <v xml:space="preserve">   MACHINES ET APPAREILS POUR LE SOUDAGE DES MÉTAUX À L'ARC OU AU JET DE PLASMA, NON-AUTOMATIQUES</v>
      </c>
      <c r="C3570">
        <v>4158786</v>
      </c>
      <c r="D3570">
        <v>610</v>
      </c>
    </row>
    <row r="3571" spans="1:4" x14ac:dyDescent="0.25">
      <c r="A3571" t="str">
        <f>T("   851780")</f>
        <v xml:space="preserve">   851780</v>
      </c>
      <c r="B3571" t="s">
        <v>453</v>
      </c>
      <c r="C3571">
        <v>918344</v>
      </c>
      <c r="D3571">
        <v>206</v>
      </c>
    </row>
    <row r="3572" spans="1:4" x14ac:dyDescent="0.25">
      <c r="A3572" t="str">
        <f>T("   852190")</f>
        <v xml:space="preserve">   852190</v>
      </c>
      <c r="B3572" t="s">
        <v>457</v>
      </c>
      <c r="C3572">
        <v>426374</v>
      </c>
      <c r="D3572">
        <v>150</v>
      </c>
    </row>
    <row r="3573" spans="1:4" x14ac:dyDescent="0.25">
      <c r="A3573" t="str">
        <f>T("   852719")</f>
        <v xml:space="preserve">   852719</v>
      </c>
      <c r="B3573"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3573">
        <v>300430</v>
      </c>
      <c r="D3573">
        <v>1450</v>
      </c>
    </row>
    <row r="3574" spans="1:4" x14ac:dyDescent="0.25">
      <c r="A3574" t="str">
        <f>T("   852812")</f>
        <v xml:space="preserve">   852812</v>
      </c>
      <c r="B357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3574">
        <v>1233872</v>
      </c>
      <c r="D3574">
        <v>8771</v>
      </c>
    </row>
    <row r="3575" spans="1:4" x14ac:dyDescent="0.25">
      <c r="A3575" t="str">
        <f>T("   853210")</f>
        <v xml:space="preserve">   853210</v>
      </c>
      <c r="B3575" t="str">
        <f>T("   Condensateurs électriques fixes conçus pour les réseaux électriques de 50/60 Hz et capables d'absorber une puissance réactive &gt;= 0,5 kvar [condensateurs de puissance]")</f>
        <v xml:space="preserve">   Condensateurs électriques fixes conçus pour les réseaux électriques de 50/60 Hz et capables d'absorber une puissance réactive &gt;= 0,5 kvar [condensateurs de puissance]</v>
      </c>
      <c r="C3575">
        <v>1704148</v>
      </c>
      <c r="D3575">
        <v>55</v>
      </c>
    </row>
    <row r="3576" spans="1:4" x14ac:dyDescent="0.25">
      <c r="A3576" t="str">
        <f>T("   853230")</f>
        <v xml:space="preserve">   853230</v>
      </c>
      <c r="B3576" t="str">
        <f>T("   Condensateurs électriques variables ou ajustables")</f>
        <v xml:space="preserve">   Condensateurs électriques variables ou ajustables</v>
      </c>
      <c r="C3576">
        <v>4203165</v>
      </c>
      <c r="D3576">
        <v>274</v>
      </c>
    </row>
    <row r="3577" spans="1:4" x14ac:dyDescent="0.25">
      <c r="A3577" t="str">
        <f>T("   853650")</f>
        <v xml:space="preserve">   853650</v>
      </c>
      <c r="B3577" t="str">
        <f>T("   Interrupteurs, sectionneurs et commutateurs, pour une tension &lt;= 1.000 V (autres que relais et disjoncteurs)")</f>
        <v xml:space="preserve">   Interrupteurs, sectionneurs et commutateurs, pour une tension &lt;= 1.000 V (autres que relais et disjoncteurs)</v>
      </c>
      <c r="C3577">
        <v>513650</v>
      </c>
      <c r="D3577">
        <v>61</v>
      </c>
    </row>
    <row r="3578" spans="1:4" x14ac:dyDescent="0.25">
      <c r="A3578" t="str">
        <f>T("   853661")</f>
        <v xml:space="preserve">   853661</v>
      </c>
      <c r="B3578" t="str">
        <f>T("   Douilles pour lampes, pour une tension &lt;= 1.000 V")</f>
        <v xml:space="preserve">   Douilles pour lampes, pour une tension &lt;= 1.000 V</v>
      </c>
      <c r="C3578">
        <v>5451028</v>
      </c>
      <c r="D3578">
        <v>7920</v>
      </c>
    </row>
    <row r="3579" spans="1:4" x14ac:dyDescent="0.25">
      <c r="A3579" t="str">
        <f>T("   853710")</f>
        <v xml:space="preserve">   853710</v>
      </c>
      <c r="B3579"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3579">
        <v>1452164</v>
      </c>
      <c r="D3579">
        <v>175</v>
      </c>
    </row>
    <row r="3580" spans="1:4" x14ac:dyDescent="0.25">
      <c r="A3580" t="str">
        <f>T("   853720")</f>
        <v xml:space="preserve">   853720</v>
      </c>
      <c r="B3580"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3580">
        <v>484851522</v>
      </c>
      <c r="D3580">
        <v>25745</v>
      </c>
    </row>
    <row r="3581" spans="1:4" x14ac:dyDescent="0.25">
      <c r="A3581" t="str">
        <f>T("   853810")</f>
        <v xml:space="preserve">   853810</v>
      </c>
      <c r="B3581" t="str">
        <f>T("   Tableaux, panneaux, consoles, pupitres, armoires et autres supports pour articles du n° 8537, dépourvus de leurs appareils")</f>
        <v xml:space="preserve">   Tableaux, panneaux, consoles, pupitres, armoires et autres supports pour articles du n° 8537, dépourvus de leurs appareils</v>
      </c>
      <c r="C3581">
        <v>14325000</v>
      </c>
      <c r="D3581">
        <v>9656</v>
      </c>
    </row>
    <row r="3582" spans="1:4" x14ac:dyDescent="0.25">
      <c r="A3582" t="str">
        <f>T("   854110")</f>
        <v xml:space="preserve">   854110</v>
      </c>
      <c r="B3582" t="str">
        <f>T("   Diodes (sauf photodiodes et diodes émettrices de lumière)")</f>
        <v xml:space="preserve">   Diodes (sauf photodiodes et diodes émettrices de lumière)</v>
      </c>
      <c r="C3582">
        <v>650686</v>
      </c>
      <c r="D3582">
        <v>16</v>
      </c>
    </row>
    <row r="3583" spans="1:4" x14ac:dyDescent="0.25">
      <c r="A3583" t="str">
        <f>T("   854420")</f>
        <v xml:space="preserve">   854420</v>
      </c>
      <c r="B3583" t="str">
        <f>T("   Câbles coaxiaux et autres conducteurs électriques coaxiaux, isolés")</f>
        <v xml:space="preserve">   Câbles coaxiaux et autres conducteurs électriques coaxiaux, isolés</v>
      </c>
      <c r="C3583">
        <v>29254504</v>
      </c>
      <c r="D3583">
        <v>8335</v>
      </c>
    </row>
    <row r="3584" spans="1:4" x14ac:dyDescent="0.25">
      <c r="A3584" t="str">
        <f>T("   854449")</f>
        <v xml:space="preserve">   854449</v>
      </c>
      <c r="B3584" t="str">
        <f>T("   CONDUCTEURS ÉLECTRIQUES, POUR TENSION &lt;= 1.000 V, ISOLÉS, SANS PIÈCES DE CONNEXION, N.D.A.")</f>
        <v xml:space="preserve">   CONDUCTEURS ÉLECTRIQUES, POUR TENSION &lt;= 1.000 V, ISOLÉS, SANS PIÈCES DE CONNEXION, N.D.A.</v>
      </c>
      <c r="C3584">
        <v>1143896</v>
      </c>
      <c r="D3584">
        <v>120</v>
      </c>
    </row>
    <row r="3585" spans="1:4" x14ac:dyDescent="0.25">
      <c r="A3585" t="str">
        <f>T("   870120")</f>
        <v xml:space="preserve">   870120</v>
      </c>
      <c r="B3585" t="str">
        <f>T("   Tracteurs routiers pour semi-remorques")</f>
        <v xml:space="preserve">   Tracteurs routiers pour semi-remorques</v>
      </c>
      <c r="C3585">
        <v>6000000</v>
      </c>
      <c r="D3585">
        <v>12530</v>
      </c>
    </row>
    <row r="3586" spans="1:4" x14ac:dyDescent="0.25">
      <c r="A3586" t="str">
        <f>T("   870210")</f>
        <v xml:space="preserve">   870210</v>
      </c>
      <c r="B3586" t="s">
        <v>469</v>
      </c>
      <c r="C3586">
        <v>14181782</v>
      </c>
      <c r="D3586">
        <v>2607</v>
      </c>
    </row>
    <row r="3587" spans="1:4" x14ac:dyDescent="0.25">
      <c r="A3587" t="str">
        <f>T("   870290")</f>
        <v xml:space="preserve">   870290</v>
      </c>
      <c r="B3587" t="s">
        <v>470</v>
      </c>
      <c r="C3587">
        <v>2400000</v>
      </c>
      <c r="D3587">
        <v>5640</v>
      </c>
    </row>
    <row r="3588" spans="1:4" x14ac:dyDescent="0.25">
      <c r="A3588" t="str">
        <f>T("   870322")</f>
        <v xml:space="preserve">   870322</v>
      </c>
      <c r="B3588" t="s">
        <v>472</v>
      </c>
      <c r="C3588">
        <v>132995435</v>
      </c>
      <c r="D3588">
        <v>109770</v>
      </c>
    </row>
    <row r="3589" spans="1:4" x14ac:dyDescent="0.25">
      <c r="A3589" t="str">
        <f>T("   870323")</f>
        <v xml:space="preserve">   870323</v>
      </c>
      <c r="B3589" t="s">
        <v>473</v>
      </c>
      <c r="C3589">
        <v>126609362</v>
      </c>
      <c r="D3589">
        <v>13373</v>
      </c>
    </row>
    <row r="3590" spans="1:4" x14ac:dyDescent="0.25">
      <c r="A3590" t="str">
        <f>T("   870331")</f>
        <v xml:space="preserve">   870331</v>
      </c>
      <c r="B3590" t="s">
        <v>475</v>
      </c>
      <c r="C3590">
        <v>18968559</v>
      </c>
      <c r="D3590">
        <v>2347</v>
      </c>
    </row>
    <row r="3591" spans="1:4" x14ac:dyDescent="0.25">
      <c r="A3591" t="str">
        <f>T("   870333")</f>
        <v xml:space="preserve">   870333</v>
      </c>
      <c r="B3591" t="s">
        <v>477</v>
      </c>
      <c r="C3591">
        <v>17520228</v>
      </c>
      <c r="D3591">
        <v>2345</v>
      </c>
    </row>
    <row r="3592" spans="1:4" x14ac:dyDescent="0.25">
      <c r="A3592" t="str">
        <f>T("   870421")</f>
        <v xml:space="preserve">   870421</v>
      </c>
      <c r="B3592" t="s">
        <v>478</v>
      </c>
      <c r="C3592">
        <v>38454430</v>
      </c>
      <c r="D3592">
        <v>10862</v>
      </c>
    </row>
    <row r="3593" spans="1:4" x14ac:dyDescent="0.25">
      <c r="A3593" t="str">
        <f>T("   870431")</f>
        <v xml:space="preserve">   870431</v>
      </c>
      <c r="B3593" t="s">
        <v>481</v>
      </c>
      <c r="C3593">
        <v>20232702</v>
      </c>
      <c r="D3593">
        <v>8625</v>
      </c>
    </row>
    <row r="3594" spans="1:4" x14ac:dyDescent="0.25">
      <c r="A3594" t="str">
        <f>T("   870810")</f>
        <v xml:space="preserve">   870810</v>
      </c>
      <c r="B3594"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3594">
        <v>1284370</v>
      </c>
      <c r="D3594">
        <v>109</v>
      </c>
    </row>
    <row r="3595" spans="1:4" x14ac:dyDescent="0.25">
      <c r="A3595" t="str">
        <f>T("   870829")</f>
        <v xml:space="preserve">   870829</v>
      </c>
      <c r="B3595" t="s">
        <v>485</v>
      </c>
      <c r="C3595">
        <v>2000678</v>
      </c>
      <c r="D3595">
        <v>170</v>
      </c>
    </row>
    <row r="3596" spans="1:4" x14ac:dyDescent="0.25">
      <c r="A3596" t="str">
        <f>T("   870899")</f>
        <v xml:space="preserve">   870899</v>
      </c>
      <c r="B359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3596">
        <v>10049213</v>
      </c>
      <c r="D3596">
        <v>3167</v>
      </c>
    </row>
    <row r="3597" spans="1:4" x14ac:dyDescent="0.25">
      <c r="A3597" t="str">
        <f>T("   870990")</f>
        <v xml:space="preserve">   870990</v>
      </c>
      <c r="B3597" t="str">
        <f>T("   Parties de chariots automobiles non munis d'un dispositif de levage, des types utilisés pour le transport des marchandises sur de courtes distances, y.c. les chariots-tracteurs des types utilisés dans les gares, n.d.a.")</f>
        <v xml:space="preserve">   Parties de chariots automobiles non munis d'un dispositif de levage, des types utilisés pour le transport des marchandises sur de courtes distances, y.c. les chariots-tracteurs des types utilisés dans les gares, n.d.a.</v>
      </c>
      <c r="C3597">
        <v>552356</v>
      </c>
      <c r="D3597">
        <v>15</v>
      </c>
    </row>
    <row r="3598" spans="1:4" x14ac:dyDescent="0.25">
      <c r="A3598" t="str">
        <f>T("   871120")</f>
        <v xml:space="preserve">   871120</v>
      </c>
      <c r="B3598" t="str">
        <f>T("   Motocycles à moteur à piston alternatif, cylindrée &gt; 50 cm³ mais &lt;= 250 cm³")</f>
        <v xml:space="preserve">   Motocycles à moteur à piston alternatif, cylindrée &gt; 50 cm³ mais &lt;= 250 cm³</v>
      </c>
      <c r="C3598">
        <v>5280000</v>
      </c>
      <c r="D3598">
        <v>6000</v>
      </c>
    </row>
    <row r="3599" spans="1:4" x14ac:dyDescent="0.25">
      <c r="A3599" t="str">
        <f>T("   871200")</f>
        <v xml:space="preserve">   871200</v>
      </c>
      <c r="B3599" t="str">
        <f>T("   BICYCLETTES ET AUTRES CYCLES, -Y.C. LES TRIPORTEURS-, SANS MOTEUR")</f>
        <v xml:space="preserve">   BICYCLETTES ET AUTRES CYCLES, -Y.C. LES TRIPORTEURS-, SANS MOTEUR</v>
      </c>
      <c r="C3599">
        <v>265664</v>
      </c>
      <c r="D3599">
        <v>220</v>
      </c>
    </row>
    <row r="3600" spans="1:4" x14ac:dyDescent="0.25">
      <c r="A3600" t="str">
        <f>T("   871419")</f>
        <v xml:space="preserve">   871419</v>
      </c>
      <c r="B3600" t="str">
        <f>T("   Parties et accessoires de motocycles, y.c. de cyclomoteurs, n.d.a.")</f>
        <v xml:space="preserve">   Parties et accessoires de motocycles, y.c. de cyclomoteurs, n.d.a.</v>
      </c>
      <c r="C3600">
        <v>2000022</v>
      </c>
      <c r="D3600">
        <v>700</v>
      </c>
    </row>
    <row r="3601" spans="1:4" x14ac:dyDescent="0.25">
      <c r="A3601" t="str">
        <f>T("   871499")</f>
        <v xml:space="preserve">   871499</v>
      </c>
      <c r="B3601" t="str">
        <f>T("   Parties et accessoires, de bicyclettes, n.d.a.")</f>
        <v xml:space="preserve">   Parties et accessoires, de bicyclettes, n.d.a.</v>
      </c>
      <c r="C3601">
        <v>175797</v>
      </c>
      <c r="D3601">
        <v>3660</v>
      </c>
    </row>
    <row r="3602" spans="1:4" x14ac:dyDescent="0.25">
      <c r="A3602" t="str">
        <f>T("   871640")</f>
        <v xml:space="preserve">   871640</v>
      </c>
      <c r="B3602"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3602">
        <v>4100407</v>
      </c>
      <c r="D3602">
        <v>19200</v>
      </c>
    </row>
    <row r="3603" spans="1:4" x14ac:dyDescent="0.25">
      <c r="A3603" t="str">
        <f>T("   871680")</f>
        <v xml:space="preserve">   871680</v>
      </c>
      <c r="B3603" t="str">
        <f>T("   Véhicules dirigés à la main et autres véhicules non automobiles, autres que remorques et semi-remorques")</f>
        <v xml:space="preserve">   Véhicules dirigés à la main et autres véhicules non automobiles, autres que remorques et semi-remorques</v>
      </c>
      <c r="C3603">
        <v>169238</v>
      </c>
      <c r="D3603">
        <v>39</v>
      </c>
    </row>
    <row r="3604" spans="1:4" x14ac:dyDescent="0.25">
      <c r="A3604" t="str">
        <f>T("   900410")</f>
        <v xml:space="preserve">   900410</v>
      </c>
      <c r="B3604" t="str">
        <f>T("   Lunettes solaires")</f>
        <v xml:space="preserve">   Lunettes solaires</v>
      </c>
      <c r="C3604">
        <v>89159</v>
      </c>
      <c r="D3604">
        <v>25</v>
      </c>
    </row>
    <row r="3605" spans="1:4" x14ac:dyDescent="0.25">
      <c r="A3605" t="str">
        <f>T("   901180")</f>
        <v xml:space="preserve">   901180</v>
      </c>
      <c r="B3605" t="s">
        <v>492</v>
      </c>
      <c r="C3605">
        <v>264654</v>
      </c>
      <c r="D3605">
        <v>1</v>
      </c>
    </row>
    <row r="3606" spans="1:4" x14ac:dyDescent="0.25">
      <c r="A3606" t="str">
        <f>T("   901380")</f>
        <v xml:space="preserve">   901380</v>
      </c>
      <c r="B3606" t="str">
        <f>T("   DISPOSITIFS À CRISTAUX LIQUIDES, N.D.A., ET AUTRES APPAREILS ET INSTRUMENTS D'OPTIQUE, N.D.A. DANS LE PRÉSENT CHAPITRE")</f>
        <v xml:space="preserve">   DISPOSITIFS À CRISTAUX LIQUIDES, N.D.A., ET AUTRES APPAREILS ET INSTRUMENTS D'OPTIQUE, N.D.A. DANS LE PRÉSENT CHAPITRE</v>
      </c>
      <c r="C3606">
        <v>407297</v>
      </c>
      <c r="D3606">
        <v>719</v>
      </c>
    </row>
    <row r="3607" spans="1:4" x14ac:dyDescent="0.25">
      <c r="A3607" t="str">
        <f>T("   901890")</f>
        <v xml:space="preserve">   901890</v>
      </c>
      <c r="B3607" t="str">
        <f>T("   Instruments et appareils pour la médecine, la chirurgie ou l'art vétérinaire, n.d.a.")</f>
        <v xml:space="preserve">   Instruments et appareils pour la médecine, la chirurgie ou l'art vétérinaire, n.d.a.</v>
      </c>
      <c r="C3607">
        <v>26788750</v>
      </c>
      <c r="D3607">
        <v>6502</v>
      </c>
    </row>
    <row r="3608" spans="1:4" x14ac:dyDescent="0.25">
      <c r="A3608" t="str">
        <f>T("   902620")</f>
        <v xml:space="preserve">   902620</v>
      </c>
      <c r="B3608"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3608">
        <v>1025101</v>
      </c>
      <c r="D3608">
        <v>21</v>
      </c>
    </row>
    <row r="3609" spans="1:4" x14ac:dyDescent="0.25">
      <c r="A3609" t="str">
        <f>T("   940180")</f>
        <v xml:space="preserve">   940180</v>
      </c>
      <c r="B3609" t="str">
        <f>T("   Sièges, n.d.a.")</f>
        <v xml:space="preserve">   Sièges, n.d.a.</v>
      </c>
      <c r="C3609">
        <v>13627982</v>
      </c>
      <c r="D3609">
        <v>1107</v>
      </c>
    </row>
    <row r="3610" spans="1:4" x14ac:dyDescent="0.25">
      <c r="A3610" t="str">
        <f>T("   940320")</f>
        <v xml:space="preserve">   940320</v>
      </c>
      <c r="B3610"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3610">
        <v>1150922</v>
      </c>
      <c r="D3610">
        <v>4879</v>
      </c>
    </row>
    <row r="3611" spans="1:4" x14ac:dyDescent="0.25">
      <c r="A3611" t="str">
        <f>T("   940330")</f>
        <v xml:space="preserve">   940330</v>
      </c>
      <c r="B3611" t="str">
        <f>T("   Meubles de bureau en bois (sauf sièges)")</f>
        <v xml:space="preserve">   Meubles de bureau en bois (sauf sièges)</v>
      </c>
      <c r="C3611">
        <v>993117</v>
      </c>
      <c r="D3611">
        <v>2921</v>
      </c>
    </row>
    <row r="3612" spans="1:4" x14ac:dyDescent="0.25">
      <c r="A3612" t="str">
        <f>T("   940360")</f>
        <v xml:space="preserve">   940360</v>
      </c>
      <c r="B3612" t="str">
        <f>T("   Meubles en bois (autres que pour bureaux, cuisines ou chambres à coucher et autres que sièges)")</f>
        <v xml:space="preserve">   Meubles en bois (autres que pour bureaux, cuisines ou chambres à coucher et autres que sièges)</v>
      </c>
      <c r="C3612">
        <v>2754114</v>
      </c>
      <c r="D3612">
        <v>14345.12</v>
      </c>
    </row>
    <row r="3613" spans="1:4" x14ac:dyDescent="0.25">
      <c r="A3613" t="str">
        <f>T("   940380")</f>
        <v xml:space="preserve">   940380</v>
      </c>
      <c r="B3613" t="str">
        <f>T("   Meubles en rotin, osier, bambou ou autres matières (sauf métal, bois et matières plastiques)")</f>
        <v xml:space="preserve">   Meubles en rotin, osier, bambou ou autres matières (sauf métal, bois et matières plastiques)</v>
      </c>
      <c r="C3613">
        <v>1393541</v>
      </c>
      <c r="D3613">
        <v>4383.22</v>
      </c>
    </row>
    <row r="3614" spans="1:4" x14ac:dyDescent="0.25">
      <c r="A3614" t="str">
        <f>T("   940390")</f>
        <v xml:space="preserve">   940390</v>
      </c>
      <c r="B3614"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3614">
        <v>27845</v>
      </c>
      <c r="D3614">
        <v>4.3</v>
      </c>
    </row>
    <row r="3615" spans="1:4" x14ac:dyDescent="0.25">
      <c r="A3615" t="str">
        <f>T("   940429")</f>
        <v xml:space="preserve">   940429</v>
      </c>
      <c r="B3615"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3615">
        <v>208595</v>
      </c>
      <c r="D3615">
        <v>90</v>
      </c>
    </row>
    <row r="3616" spans="1:4" x14ac:dyDescent="0.25">
      <c r="A3616" t="str">
        <f>T("   940490")</f>
        <v xml:space="preserve">   940490</v>
      </c>
      <c r="B3616" t="s">
        <v>505</v>
      </c>
      <c r="C3616">
        <v>262384</v>
      </c>
      <c r="D3616">
        <v>300</v>
      </c>
    </row>
    <row r="3617" spans="1:4" x14ac:dyDescent="0.25">
      <c r="A3617" t="str">
        <f>T("   940540")</f>
        <v xml:space="preserve">   940540</v>
      </c>
      <c r="B3617" t="str">
        <f>T("   Appareils d'éclairage électrique, n.d.a.")</f>
        <v xml:space="preserve">   Appareils d'éclairage électrique, n.d.a.</v>
      </c>
      <c r="C3617">
        <v>133160</v>
      </c>
      <c r="D3617">
        <v>27</v>
      </c>
    </row>
    <row r="3618" spans="1:4" x14ac:dyDescent="0.25">
      <c r="A3618" t="str">
        <f>T("   950299")</f>
        <v xml:space="preserve">   950299</v>
      </c>
      <c r="B3618" t="str">
        <f>T("   Parties et accessoires pour poupées représentant uniquement l'être humain, n.d.a.")</f>
        <v xml:space="preserve">   Parties et accessoires pour poupées représentant uniquement l'être humain, n.d.a.</v>
      </c>
      <c r="C3618">
        <v>65596</v>
      </c>
      <c r="D3618">
        <v>300</v>
      </c>
    </row>
    <row r="3619" spans="1:4" x14ac:dyDescent="0.25">
      <c r="A3619" t="str">
        <f>T("   950662")</f>
        <v xml:space="preserve">   950662</v>
      </c>
      <c r="B3619" t="str">
        <f>T("   Ballons et balles gonflables")</f>
        <v xml:space="preserve">   Ballons et balles gonflables</v>
      </c>
      <c r="C3619">
        <v>160638</v>
      </c>
      <c r="D3619">
        <v>5932</v>
      </c>
    </row>
    <row r="3620" spans="1:4" x14ac:dyDescent="0.25">
      <c r="A3620" t="str">
        <f>T("   960390")</f>
        <v xml:space="preserve">   960390</v>
      </c>
      <c r="B3620"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3620">
        <v>100670</v>
      </c>
      <c r="D3620">
        <v>42.3</v>
      </c>
    </row>
    <row r="3621" spans="1:4" x14ac:dyDescent="0.25">
      <c r="A3621" t="str">
        <f>T("   960810")</f>
        <v xml:space="preserve">   960810</v>
      </c>
      <c r="B3621" t="str">
        <f>T("   Stylos et crayons à bille")</f>
        <v xml:space="preserve">   Stylos et crayons à bille</v>
      </c>
      <c r="C3621">
        <v>1968</v>
      </c>
      <c r="D3621">
        <v>1</v>
      </c>
    </row>
    <row r="3622" spans="1:4" x14ac:dyDescent="0.25">
      <c r="A3622" t="str">
        <f>T("   960820")</f>
        <v xml:space="preserve">   960820</v>
      </c>
      <c r="B3622" t="str">
        <f>T("   Stylos et marqueurs à mèche feutre ou à autres pointes poreuses")</f>
        <v xml:space="preserve">   Stylos et marqueurs à mèche feutre ou à autres pointes poreuses</v>
      </c>
      <c r="C3622">
        <v>4382</v>
      </c>
      <c r="D3622">
        <v>5</v>
      </c>
    </row>
    <row r="3623" spans="1:4" x14ac:dyDescent="0.25">
      <c r="A3623" t="str">
        <f>T("   961000")</f>
        <v xml:space="preserve">   961000</v>
      </c>
      <c r="B3623" t="str">
        <f>T("   Ardoises et tableaux pour l'écriture ou le dessin, même encadrés")</f>
        <v xml:space="preserve">   Ardoises et tableaux pour l'écriture ou le dessin, même encadrés</v>
      </c>
      <c r="C3623">
        <v>325958</v>
      </c>
      <c r="D3623">
        <v>1500</v>
      </c>
    </row>
    <row r="3624" spans="1:4" x14ac:dyDescent="0.25">
      <c r="A3624" t="str">
        <f>T("FI")</f>
        <v>FI</v>
      </c>
      <c r="B3624" t="str">
        <f>T("Finlande")</f>
        <v>Finlande</v>
      </c>
    </row>
    <row r="3625" spans="1:4" x14ac:dyDescent="0.25">
      <c r="A3625" t="str">
        <f>T("   ZZ_Total_Produit_SH6")</f>
        <v xml:space="preserve">   ZZ_Total_Produit_SH6</v>
      </c>
      <c r="B3625" t="str">
        <f>T("   ZZ_Total_Produit_SH6")</f>
        <v xml:space="preserve">   ZZ_Total_Produit_SH6</v>
      </c>
      <c r="C3625">
        <v>923356505</v>
      </c>
      <c r="D3625">
        <v>44104.15</v>
      </c>
    </row>
    <row r="3626" spans="1:4" x14ac:dyDescent="0.25">
      <c r="A3626" t="str">
        <f>T("   300660")</f>
        <v xml:space="preserve">   300660</v>
      </c>
      <c r="B3626" t="str">
        <f>T("   Préparations chimiques contraceptives à base d'hormones, de prostaglandines, de thromboxanes, de leucotriènes, de leurs dérivés et analogues structurels ou de spermicides")</f>
        <v xml:space="preserve">   Préparations chimiques contraceptives à base d'hormones, de prostaglandines, de thromboxanes, de leucotriènes, de leurs dérivés et analogues structurels ou de spermicides</v>
      </c>
      <c r="C3626">
        <v>223385728</v>
      </c>
      <c r="D3626">
        <v>573</v>
      </c>
    </row>
    <row r="3627" spans="1:4" x14ac:dyDescent="0.25">
      <c r="A3627" t="str">
        <f>T("   392690")</f>
        <v xml:space="preserve">   392690</v>
      </c>
      <c r="B3627" t="str">
        <f>T("   Ouvrages en matières plastiques et ouvrages en autres matières du n° 3901 à 3914, n.d.a.")</f>
        <v xml:space="preserve">   Ouvrages en matières plastiques et ouvrages en autres matières du n° 3901 à 3914, n.d.a.</v>
      </c>
      <c r="C3627">
        <v>8300793</v>
      </c>
      <c r="D3627">
        <v>198</v>
      </c>
    </row>
    <row r="3628" spans="1:4" x14ac:dyDescent="0.25">
      <c r="A3628" t="str">
        <f>T("   400911")</f>
        <v xml:space="preserve">   400911</v>
      </c>
      <c r="B3628"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3628">
        <v>4045712</v>
      </c>
      <c r="D3628">
        <v>199.27</v>
      </c>
    </row>
    <row r="3629" spans="1:4" x14ac:dyDescent="0.25">
      <c r="A3629" t="str">
        <f>T("   400912")</f>
        <v xml:space="preserve">   400912</v>
      </c>
      <c r="B3629"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3629">
        <v>11762151</v>
      </c>
      <c r="D3629">
        <v>467.75</v>
      </c>
    </row>
    <row r="3630" spans="1:4" x14ac:dyDescent="0.25">
      <c r="A3630" t="str">
        <f>T("   400921")</f>
        <v xml:space="preserve">   400921</v>
      </c>
      <c r="B3630" t="str">
        <f>T("   Tubes et tuyaux en caoutchouc vulcanisé non durci, renforcés seulement à l'aide de métal ou autrement associés seulement à du métal, sans accessoires")</f>
        <v xml:space="preserve">   Tubes et tuyaux en caoutchouc vulcanisé non durci, renforcés seulement à l'aide de métal ou autrement associés seulement à du métal, sans accessoires</v>
      </c>
      <c r="C3630">
        <v>399808</v>
      </c>
      <c r="D3630">
        <v>5</v>
      </c>
    </row>
    <row r="3631" spans="1:4" x14ac:dyDescent="0.25">
      <c r="A3631" t="str">
        <f>T("   400941")</f>
        <v xml:space="preserve">   400941</v>
      </c>
      <c r="B3631"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3631">
        <v>4096168</v>
      </c>
      <c r="D3631">
        <v>103</v>
      </c>
    </row>
    <row r="3632" spans="1:4" x14ac:dyDescent="0.25">
      <c r="A3632" t="str">
        <f>T("   401039")</f>
        <v xml:space="preserve">   401039</v>
      </c>
      <c r="B3632" t="s">
        <v>151</v>
      </c>
      <c r="C3632">
        <v>365816</v>
      </c>
      <c r="D3632">
        <v>13</v>
      </c>
    </row>
    <row r="3633" spans="1:4" x14ac:dyDescent="0.25">
      <c r="A3633" t="str">
        <f>T("   401693")</f>
        <v xml:space="preserve">   401693</v>
      </c>
      <c r="B3633" t="str">
        <f>T("   Joints en caoutchouc vulcanisé non durci (à l'excl. des articles en caoutchouc alvéolaire)")</f>
        <v xml:space="preserve">   Joints en caoutchouc vulcanisé non durci (à l'excl. des articles en caoutchouc alvéolaire)</v>
      </c>
      <c r="C3633">
        <v>2451926</v>
      </c>
      <c r="D3633">
        <v>107</v>
      </c>
    </row>
    <row r="3634" spans="1:4" x14ac:dyDescent="0.25">
      <c r="A3634" t="str">
        <f>T("   630900")</f>
        <v xml:space="preserve">   630900</v>
      </c>
      <c r="B3634" t="s">
        <v>273</v>
      </c>
      <c r="C3634">
        <v>7521237</v>
      </c>
      <c r="D3634">
        <v>18000</v>
      </c>
    </row>
    <row r="3635" spans="1:4" x14ac:dyDescent="0.25">
      <c r="A3635" t="str">
        <f>T("   730792")</f>
        <v xml:space="preserve">   730792</v>
      </c>
      <c r="B3635" t="str">
        <f>T("   Coudes, courbes et manchons en fer ou en aciers, filetés (autres que moulés ou en aciers inoxydables)")</f>
        <v xml:space="preserve">   Coudes, courbes et manchons en fer ou en aciers, filetés (autres que moulés ou en aciers inoxydables)</v>
      </c>
      <c r="C3635">
        <v>529930</v>
      </c>
      <c r="D3635">
        <v>26</v>
      </c>
    </row>
    <row r="3636" spans="1:4" x14ac:dyDescent="0.25">
      <c r="A3636" t="str">
        <f>T("   730799")</f>
        <v xml:space="preserve">   730799</v>
      </c>
      <c r="B3636"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3636">
        <v>5516105</v>
      </c>
      <c r="D3636">
        <v>98</v>
      </c>
    </row>
    <row r="3637" spans="1:4" x14ac:dyDescent="0.25">
      <c r="A3637" t="str">
        <f>T("   730820")</f>
        <v xml:space="preserve">   730820</v>
      </c>
      <c r="B3637" t="str">
        <f>T("   Tours et pylônes, en fer ou en acier")</f>
        <v xml:space="preserve">   Tours et pylônes, en fer ou en acier</v>
      </c>
      <c r="C3637">
        <v>15213674</v>
      </c>
      <c r="D3637">
        <v>2540</v>
      </c>
    </row>
    <row r="3638" spans="1:4" x14ac:dyDescent="0.25">
      <c r="A3638" t="str">
        <f>T("   731815")</f>
        <v xml:space="preserve">   731815</v>
      </c>
      <c r="B3638" t="s">
        <v>354</v>
      </c>
      <c r="C3638">
        <v>16264758</v>
      </c>
      <c r="D3638">
        <v>495</v>
      </c>
    </row>
    <row r="3639" spans="1:4" x14ac:dyDescent="0.25">
      <c r="A3639" t="str">
        <f>T("   731816")</f>
        <v xml:space="preserve">   731816</v>
      </c>
      <c r="B3639" t="str">
        <f>T("   ÉCROUS EN FONTE, FER OU ACIER")</f>
        <v xml:space="preserve">   ÉCROUS EN FONTE, FER OU ACIER</v>
      </c>
      <c r="C3639">
        <v>8655976</v>
      </c>
      <c r="D3639">
        <v>254</v>
      </c>
    </row>
    <row r="3640" spans="1:4" x14ac:dyDescent="0.25">
      <c r="A3640" t="str">
        <f>T("   731822")</f>
        <v xml:space="preserve">   731822</v>
      </c>
      <c r="B3640" t="str">
        <f>T("   Rondelles en fonte, fer ou acier (sauf rondelles destinées à faire ressort et autres rondelles de blocage)")</f>
        <v xml:space="preserve">   Rondelles en fonte, fer ou acier (sauf rondelles destinées à faire ressort et autres rondelles de blocage)</v>
      </c>
      <c r="C3640">
        <v>443691</v>
      </c>
      <c r="D3640">
        <v>15</v>
      </c>
    </row>
    <row r="3641" spans="1:4" x14ac:dyDescent="0.25">
      <c r="A3641" t="str">
        <f>T("   732020")</f>
        <v xml:space="preserve">   732020</v>
      </c>
      <c r="B3641" t="str">
        <f>T("   RESSORTS EN HÉLICE EN FER OU EN ACIER (À L'EXCL. DES RESSORTS SPIRAUX PLATS, RESSORTS DE MONTRES, RESSORTS POUR CANNES ET MANCHES DE PARAPLUIES ET DE PARASOLS ET SAUF RESSORTS-AMORTISSEURS DE LA SECTION 17)")</f>
        <v xml:space="preserve">   RESSORTS EN HÉLICE EN FER OU EN ACIER (À L'EXCL. DES RESSORTS SPIRAUX PLATS, RESSORTS DE MONTRES, RESSORTS POUR CANNES ET MANCHES DE PARAPLUIES ET DE PARASOLS ET SAUF RESSORTS-AMORTISSEURS DE LA SECTION 17)</v>
      </c>
      <c r="C3641">
        <v>179471</v>
      </c>
      <c r="D3641">
        <v>1</v>
      </c>
    </row>
    <row r="3642" spans="1:4" x14ac:dyDescent="0.25">
      <c r="A3642" t="str">
        <f>T("   732620")</f>
        <v xml:space="preserve">   732620</v>
      </c>
      <c r="B3642" t="str">
        <f>T("   Ouvrages en fil de fer ou d'acier, n.d.a.")</f>
        <v xml:space="preserve">   Ouvrages en fil de fer ou d'acier, n.d.a.</v>
      </c>
      <c r="C3642">
        <v>3209737</v>
      </c>
      <c r="D3642">
        <v>184</v>
      </c>
    </row>
    <row r="3643" spans="1:4" x14ac:dyDescent="0.25">
      <c r="A3643" t="str">
        <f>T("   840890")</f>
        <v xml:space="preserve">   840890</v>
      </c>
      <c r="B3643" t="s">
        <v>394</v>
      </c>
      <c r="C3643">
        <v>10436842</v>
      </c>
      <c r="D3643">
        <v>282</v>
      </c>
    </row>
    <row r="3644" spans="1:4" x14ac:dyDescent="0.25">
      <c r="A3644" t="str">
        <f>T("   841330")</f>
        <v xml:space="preserve">   841330</v>
      </c>
      <c r="B3644"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3644">
        <v>11723258</v>
      </c>
      <c r="D3644">
        <v>406</v>
      </c>
    </row>
    <row r="3645" spans="1:4" x14ac:dyDescent="0.25">
      <c r="A3645" t="str">
        <f>T("   841381")</f>
        <v xml:space="preserve">   841381</v>
      </c>
      <c r="B3645" t="s">
        <v>398</v>
      </c>
      <c r="C3645">
        <v>45704746</v>
      </c>
      <c r="D3645">
        <v>1382</v>
      </c>
    </row>
    <row r="3646" spans="1:4" x14ac:dyDescent="0.25">
      <c r="A3646" t="str">
        <f>T("   841391")</f>
        <v xml:space="preserve">   841391</v>
      </c>
      <c r="B3646" t="str">
        <f>T("   Parties de pompes pour liquides, n.d.a.")</f>
        <v xml:space="preserve">   Parties de pompes pour liquides, n.d.a.</v>
      </c>
      <c r="C3646">
        <v>419158</v>
      </c>
      <c r="D3646">
        <v>1</v>
      </c>
    </row>
    <row r="3647" spans="1:4" x14ac:dyDescent="0.25">
      <c r="A3647" t="str">
        <f>T("   841459")</f>
        <v xml:space="preserve">   841459</v>
      </c>
      <c r="B3647"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3647">
        <v>476935</v>
      </c>
      <c r="D3647">
        <v>21</v>
      </c>
    </row>
    <row r="3648" spans="1:4" x14ac:dyDescent="0.25">
      <c r="A3648" t="str">
        <f>T("   842131")</f>
        <v xml:space="preserve">   842131</v>
      </c>
      <c r="B3648" t="str">
        <f>T("   Filtres d'entrée d'air pour moteurs à allumage par étincelles ou par compression")</f>
        <v xml:space="preserve">   Filtres d'entrée d'air pour moteurs à allumage par étincelles ou par compression</v>
      </c>
      <c r="C3648">
        <v>8672368</v>
      </c>
      <c r="D3648">
        <v>286</v>
      </c>
    </row>
    <row r="3649" spans="1:4" x14ac:dyDescent="0.25">
      <c r="A3649" t="str">
        <f>T("   842139")</f>
        <v xml:space="preserve">   842139</v>
      </c>
      <c r="B3649"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3649">
        <v>2742766</v>
      </c>
      <c r="D3649">
        <v>153</v>
      </c>
    </row>
    <row r="3650" spans="1:4" x14ac:dyDescent="0.25">
      <c r="A3650" t="str">
        <f>T("   842539")</f>
        <v xml:space="preserve">   842539</v>
      </c>
      <c r="B3650" t="str">
        <f>T("   Treuils et cabestans, autres qu'à moteur électrique (sauf treuils pour puits de mines et sauf treuils spécialement conçus pour mines au fond)")</f>
        <v xml:space="preserve">   Treuils et cabestans, autres qu'à moteur électrique (sauf treuils pour puits de mines et sauf treuils spécialement conçus pour mines au fond)</v>
      </c>
      <c r="C3650">
        <v>20933901</v>
      </c>
      <c r="D3650">
        <v>1900</v>
      </c>
    </row>
    <row r="3651" spans="1:4" x14ac:dyDescent="0.25">
      <c r="A3651" t="str">
        <f>T("   843120")</f>
        <v xml:space="preserve">   843120</v>
      </c>
      <c r="B3651" t="str">
        <f>T("   Parties de chariots-gerbeurs et autres chariots de manutention munis d'un dispositif de levage, n.d.a.")</f>
        <v xml:space="preserve">   Parties de chariots-gerbeurs et autres chariots de manutention munis d'un dispositif de levage, n.d.a.</v>
      </c>
      <c r="C3651">
        <v>187062921</v>
      </c>
      <c r="D3651">
        <v>4538.3</v>
      </c>
    </row>
    <row r="3652" spans="1:4" x14ac:dyDescent="0.25">
      <c r="A3652" t="str">
        <f>T("   843139")</f>
        <v xml:space="preserve">   843139</v>
      </c>
      <c r="B3652" t="str">
        <f>T("   Parties de machines et appareils du n° 8428, n.d.a.")</f>
        <v xml:space="preserve">   Parties de machines et appareils du n° 8428, n.d.a.</v>
      </c>
      <c r="C3652">
        <v>38327861</v>
      </c>
      <c r="D3652">
        <v>3130</v>
      </c>
    </row>
    <row r="3653" spans="1:4" x14ac:dyDescent="0.25">
      <c r="A3653" t="str">
        <f>T("   843149")</f>
        <v xml:space="preserve">   843149</v>
      </c>
      <c r="B3653" t="str">
        <f>T("   Parties de machines et appareils du n° 8426, 8429 ou 8430, n.d.a.")</f>
        <v xml:space="preserve">   Parties de machines et appareils du n° 8426, 8429 ou 8430, n.d.a.</v>
      </c>
      <c r="C3653">
        <v>83435253</v>
      </c>
      <c r="D3653">
        <v>3253.84</v>
      </c>
    </row>
    <row r="3654" spans="1:4" x14ac:dyDescent="0.25">
      <c r="A3654" t="str">
        <f>T("   848180")</f>
        <v xml:space="preserve">   848180</v>
      </c>
      <c r="B3654"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654">
        <v>72217648</v>
      </c>
      <c r="D3654">
        <v>1975.5</v>
      </c>
    </row>
    <row r="3655" spans="1:4" x14ac:dyDescent="0.25">
      <c r="A3655" t="str">
        <f>T("   848220")</f>
        <v xml:space="preserve">   848220</v>
      </c>
      <c r="B3655" t="str">
        <f>T("   Roulements à rouleaux coniques, y.c. les assemblages de cônes et rouleaux coniques")</f>
        <v xml:space="preserve">   Roulements à rouleaux coniques, y.c. les assemblages de cônes et rouleaux coniques</v>
      </c>
      <c r="C3655">
        <v>104075</v>
      </c>
      <c r="D3655">
        <v>1</v>
      </c>
    </row>
    <row r="3656" spans="1:4" x14ac:dyDescent="0.25">
      <c r="A3656" t="str">
        <f>T("   848280")</f>
        <v xml:space="preserve">   848280</v>
      </c>
      <c r="B3656" t="s">
        <v>442</v>
      </c>
      <c r="C3656">
        <v>513643</v>
      </c>
      <c r="D3656">
        <v>14</v>
      </c>
    </row>
    <row r="3657" spans="1:4" x14ac:dyDescent="0.25">
      <c r="A3657" t="str">
        <f>T("   848291")</f>
        <v xml:space="preserve">   848291</v>
      </c>
      <c r="B3657" t="str">
        <f>T("   Billes, galets, rouleaux et aiguilles pour roulements (sauf billes en acier du n° 7326)")</f>
        <v xml:space="preserve">   Billes, galets, rouleaux et aiguilles pour roulements (sauf billes en acier du n° 7326)</v>
      </c>
      <c r="C3657">
        <v>2772776</v>
      </c>
      <c r="D3657">
        <v>59.49</v>
      </c>
    </row>
    <row r="3658" spans="1:4" x14ac:dyDescent="0.25">
      <c r="A3658" t="str">
        <f>T("   848310")</f>
        <v xml:space="preserve">   848310</v>
      </c>
      <c r="B3658" t="str">
        <f>T("   Arbres de transmission pour machines, y.c. -les arbres à cames et les vilebrequins- et manivelles")</f>
        <v xml:space="preserve">   Arbres de transmission pour machines, y.c. -les arbres à cames et les vilebrequins- et manivelles</v>
      </c>
      <c r="C3658">
        <v>5457181</v>
      </c>
      <c r="D3658">
        <v>235</v>
      </c>
    </row>
    <row r="3659" spans="1:4" x14ac:dyDescent="0.25">
      <c r="A3659" t="str">
        <f>T("   848490")</f>
        <v xml:space="preserve">   848490</v>
      </c>
      <c r="B3659" t="str">
        <f>T("   Jeux ou assortiments de joints de composition différente présentés en pochettes, enveloppes ou emballages analogues")</f>
        <v xml:space="preserve">   Jeux ou assortiments de joints de composition différente présentés en pochettes, enveloppes ou emballages analogues</v>
      </c>
      <c r="C3659">
        <v>18320504</v>
      </c>
      <c r="D3659">
        <v>804</v>
      </c>
    </row>
    <row r="3660" spans="1:4" x14ac:dyDescent="0.25">
      <c r="A3660" t="str">
        <f>T("   850710")</f>
        <v xml:space="preserve">   850710</v>
      </c>
      <c r="B3660" t="str">
        <f>T("   Accumulateurs au plomb, pour le démarrage des moteurs à piston (sauf hors d'usage)")</f>
        <v xml:space="preserve">   Accumulateurs au plomb, pour le démarrage des moteurs à piston (sauf hors d'usage)</v>
      </c>
      <c r="C3660">
        <v>1291060</v>
      </c>
      <c r="D3660">
        <v>45</v>
      </c>
    </row>
    <row r="3661" spans="1:4" x14ac:dyDescent="0.25">
      <c r="A3661" t="str">
        <f>T("   851140")</f>
        <v xml:space="preserve">   851140</v>
      </c>
      <c r="B3661" t="str">
        <f>T("   Démarreurs, même fonctionnant comme génératrices, pour moteurs à allumage par étincelles ou par compression")</f>
        <v xml:space="preserve">   Démarreurs, même fonctionnant comme génératrices, pour moteurs à allumage par étincelles ou par compression</v>
      </c>
      <c r="C3661">
        <v>2641459</v>
      </c>
      <c r="D3661">
        <v>48</v>
      </c>
    </row>
    <row r="3662" spans="1:4" x14ac:dyDescent="0.25">
      <c r="A3662" t="str">
        <f>T("   851220")</f>
        <v xml:space="preserve">   851220</v>
      </c>
      <c r="B3662" t="str">
        <f>T("   Appareils électriques d'éclairage ou de signalisation visuelle, pour automobiles (à l'excl. des lampes du n° 8539)")</f>
        <v xml:space="preserve">   Appareils électriques d'éclairage ou de signalisation visuelle, pour automobiles (à l'excl. des lampes du n° 8539)</v>
      </c>
      <c r="C3662">
        <v>815660</v>
      </c>
      <c r="D3662">
        <v>31</v>
      </c>
    </row>
    <row r="3663" spans="1:4" x14ac:dyDescent="0.25">
      <c r="A3663" t="str">
        <f>T("   853649")</f>
        <v xml:space="preserve">   853649</v>
      </c>
      <c r="B3663" t="str">
        <f>T("   Relais, pour une tension &gt; 60 V mais &lt;= 1.000 V")</f>
        <v xml:space="preserve">   Relais, pour une tension &gt; 60 V mais &lt;= 1.000 V</v>
      </c>
      <c r="C3663">
        <v>357656</v>
      </c>
      <c r="D3663">
        <v>13</v>
      </c>
    </row>
    <row r="3664" spans="1:4" x14ac:dyDescent="0.25">
      <c r="A3664" t="str">
        <f>T("   853650")</f>
        <v xml:space="preserve">   853650</v>
      </c>
      <c r="B3664" t="str">
        <f>T("   Interrupteurs, sectionneurs et commutateurs, pour une tension &lt;= 1.000 V (autres que relais et disjoncteurs)")</f>
        <v xml:space="preserve">   Interrupteurs, sectionneurs et commutateurs, pour une tension &lt;= 1.000 V (autres que relais et disjoncteurs)</v>
      </c>
      <c r="C3664">
        <v>364622</v>
      </c>
      <c r="D3664">
        <v>6</v>
      </c>
    </row>
    <row r="3665" spans="1:4" x14ac:dyDescent="0.25">
      <c r="A3665" t="str">
        <f>T("   853669")</f>
        <v xml:space="preserve">   853669</v>
      </c>
      <c r="B3665" t="str">
        <f>T("   Fiches et prises de courant, pour une tension &lt;= 1.000 V (sauf douilles pour lampes)")</f>
        <v xml:space="preserve">   Fiches et prises de courant, pour une tension &lt;= 1.000 V (sauf douilles pour lampes)</v>
      </c>
      <c r="C3665">
        <v>1054134</v>
      </c>
      <c r="D3665">
        <v>59</v>
      </c>
    </row>
    <row r="3666" spans="1:4" x14ac:dyDescent="0.25">
      <c r="A3666" t="str">
        <f>T("   854420")</f>
        <v xml:space="preserve">   854420</v>
      </c>
      <c r="B3666" t="str">
        <f>T("   Câbles coaxiaux et autres conducteurs électriques coaxiaux, isolés")</f>
        <v xml:space="preserve">   Câbles coaxiaux et autres conducteurs électriques coaxiaux, isolés</v>
      </c>
      <c r="C3666">
        <v>22142783</v>
      </c>
      <c r="D3666">
        <v>365</v>
      </c>
    </row>
    <row r="3667" spans="1:4" x14ac:dyDescent="0.25">
      <c r="A3667" t="str">
        <f>T("   854449")</f>
        <v xml:space="preserve">   854449</v>
      </c>
      <c r="B3667" t="str">
        <f>T("   CONDUCTEURS ÉLECTRIQUES, POUR TENSION &lt;= 1.000 V, ISOLÉS, SANS PIÈCES DE CONNEXION, N.D.A.")</f>
        <v xml:space="preserve">   CONDUCTEURS ÉLECTRIQUES, POUR TENSION &lt;= 1.000 V, ISOLÉS, SANS PIÈCES DE CONNEXION, N.D.A.</v>
      </c>
      <c r="C3667">
        <v>6785618</v>
      </c>
      <c r="D3667">
        <v>234</v>
      </c>
    </row>
    <row r="3668" spans="1:4" x14ac:dyDescent="0.25">
      <c r="A3668" t="str">
        <f>T("   854460")</f>
        <v xml:space="preserve">   854460</v>
      </c>
      <c r="B3668" t="str">
        <f>T("   Conducteurs électriques, pour tension &gt; 1.000 V, n.d.a.")</f>
        <v xml:space="preserve">   Conducteurs électriques, pour tension &gt; 1.000 V, n.d.a.</v>
      </c>
      <c r="C3668">
        <v>5799756</v>
      </c>
      <c r="D3668">
        <v>76</v>
      </c>
    </row>
    <row r="3669" spans="1:4" x14ac:dyDescent="0.25">
      <c r="A3669" t="str">
        <f>T("   870839")</f>
        <v xml:space="preserve">   870839</v>
      </c>
      <c r="B3669"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3669">
        <v>17492925</v>
      </c>
      <c r="D3669">
        <v>509</v>
      </c>
    </row>
    <row r="3670" spans="1:4" x14ac:dyDescent="0.25">
      <c r="A3670" t="str">
        <f>T("   870899")</f>
        <v xml:space="preserve">   870899</v>
      </c>
      <c r="B3670"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3670">
        <v>19123700</v>
      </c>
      <c r="D3670">
        <v>447</v>
      </c>
    </row>
    <row r="3671" spans="1:4" x14ac:dyDescent="0.25">
      <c r="A3671" t="str">
        <f>T("   902620")</f>
        <v xml:space="preserve">   902620</v>
      </c>
      <c r="B3671"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3671">
        <v>6648114</v>
      </c>
      <c r="D3671">
        <v>61</v>
      </c>
    </row>
    <row r="3672" spans="1:4" x14ac:dyDescent="0.25">
      <c r="A3672" t="str">
        <f>T("   902680")</f>
        <v xml:space="preserve">   902680</v>
      </c>
      <c r="B3672" t="str">
        <f>T("   Instruments et appareils pour la mesure et le contrôle des caractéristiques variables des liquides ou des gaz, n.d.a.")</f>
        <v xml:space="preserve">   Instruments et appareils pour la mesure et le contrôle des caractéristiques variables des liquides ou des gaz, n.d.a.</v>
      </c>
      <c r="C3672">
        <v>11180779</v>
      </c>
      <c r="D3672">
        <v>299</v>
      </c>
    </row>
    <row r="3673" spans="1:4" x14ac:dyDescent="0.25">
      <c r="A3673" t="str">
        <f>T("   903039")</f>
        <v xml:space="preserve">   903039</v>
      </c>
      <c r="B3673"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3673">
        <v>796991</v>
      </c>
      <c r="D3673">
        <v>1</v>
      </c>
    </row>
    <row r="3674" spans="1:4" x14ac:dyDescent="0.25">
      <c r="A3674" t="str">
        <f>T("   903083")</f>
        <v xml:space="preserve">   903083</v>
      </c>
      <c r="B3674" t="s">
        <v>500</v>
      </c>
      <c r="C3674">
        <v>5196731</v>
      </c>
      <c r="D3674">
        <v>189</v>
      </c>
    </row>
    <row r="3675" spans="1:4" x14ac:dyDescent="0.25">
      <c r="A3675" t="str">
        <f>T("FJ")</f>
        <v>FJ</v>
      </c>
      <c r="B3675" t="str">
        <f>T("Fiji")</f>
        <v>Fiji</v>
      </c>
    </row>
    <row r="3676" spans="1:4" x14ac:dyDescent="0.25">
      <c r="A3676" t="str">
        <f>T("   ZZ_Total_Produit_SH6")</f>
        <v xml:space="preserve">   ZZ_Total_Produit_SH6</v>
      </c>
      <c r="B3676" t="str">
        <f>T("   ZZ_Total_Produit_SH6")</f>
        <v xml:space="preserve">   ZZ_Total_Produit_SH6</v>
      </c>
      <c r="C3676">
        <v>202257983.71900001</v>
      </c>
      <c r="D3676">
        <v>752000</v>
      </c>
    </row>
    <row r="3677" spans="1:4" x14ac:dyDescent="0.25">
      <c r="A3677" t="str">
        <f>T("   110100")</f>
        <v xml:space="preserve">   110100</v>
      </c>
      <c r="B3677" t="str">
        <f>T("   Farines de froment [blé] ou de méteil")</f>
        <v xml:space="preserve">   Farines de froment [blé] ou de méteil</v>
      </c>
      <c r="C3677">
        <v>202257983.71900001</v>
      </c>
      <c r="D3677">
        <v>752000</v>
      </c>
    </row>
    <row r="3678" spans="1:4" x14ac:dyDescent="0.25">
      <c r="A3678" t="str">
        <f>T("FO")</f>
        <v>FO</v>
      </c>
      <c r="B3678" t="str">
        <f>T("Féroé, îles")</f>
        <v>Féroé, îles</v>
      </c>
    </row>
    <row r="3679" spans="1:4" x14ac:dyDescent="0.25">
      <c r="A3679" t="str">
        <f>T("   ZZ_Total_Produit_SH6")</f>
        <v xml:space="preserve">   ZZ_Total_Produit_SH6</v>
      </c>
      <c r="B3679" t="str">
        <f>T("   ZZ_Total_Produit_SH6")</f>
        <v xml:space="preserve">   ZZ_Total_Produit_SH6</v>
      </c>
      <c r="C3679">
        <v>1277482</v>
      </c>
      <c r="D3679">
        <v>34</v>
      </c>
    </row>
    <row r="3680" spans="1:4" x14ac:dyDescent="0.25">
      <c r="A3680" t="str">
        <f>T("   382200")</f>
        <v xml:space="preserve">   382200</v>
      </c>
      <c r="B3680" t="s">
        <v>122</v>
      </c>
      <c r="C3680">
        <v>1277482</v>
      </c>
      <c r="D3680">
        <v>34</v>
      </c>
    </row>
    <row r="3681" spans="1:4" x14ac:dyDescent="0.25">
      <c r="A3681" t="str">
        <f>T("FR")</f>
        <v>FR</v>
      </c>
      <c r="B3681" t="str">
        <f>T("France")</f>
        <v>France</v>
      </c>
    </row>
    <row r="3682" spans="1:4" x14ac:dyDescent="0.25">
      <c r="A3682" t="str">
        <f>T("   ZZ_Total_Produit_SH6")</f>
        <v xml:space="preserve">   ZZ_Total_Produit_SH6</v>
      </c>
      <c r="B3682" t="str">
        <f>T("   ZZ_Total_Produit_SH6")</f>
        <v xml:space="preserve">   ZZ_Total_Produit_SH6</v>
      </c>
      <c r="C3682">
        <v>151694408837.263</v>
      </c>
      <c r="D3682">
        <v>199366384.49000001</v>
      </c>
    </row>
    <row r="3683" spans="1:4" x14ac:dyDescent="0.25">
      <c r="A3683" t="str">
        <f>T("   010511")</f>
        <v xml:space="preserve">   010511</v>
      </c>
      <c r="B3683" t="str">
        <f>T("   Coqs et poules [des espèces domestiques], vivants, d'un poids &lt;= 185 g")</f>
        <v xml:space="preserve">   Coqs et poules [des espèces domestiques], vivants, d'un poids &lt;= 185 g</v>
      </c>
      <c r="C3683">
        <v>18440347</v>
      </c>
      <c r="D3683">
        <v>8675</v>
      </c>
    </row>
    <row r="3684" spans="1:4" x14ac:dyDescent="0.25">
      <c r="A3684" t="str">
        <f>T("   020220")</f>
        <v xml:space="preserve">   020220</v>
      </c>
      <c r="B3684" t="str">
        <f>T("   MORCEAUX NON-DÉSOSSÉS, DE BOVINS, CONGELÉS (À L'EXCL. DES CARCASSES ET DES DEMI-CARCASSES)")</f>
        <v xml:space="preserve">   MORCEAUX NON-DÉSOSSÉS, DE BOVINS, CONGELÉS (À L'EXCL. DES CARCASSES ET DES DEMI-CARCASSES)</v>
      </c>
      <c r="C3684">
        <v>1448360</v>
      </c>
      <c r="D3684">
        <v>1809</v>
      </c>
    </row>
    <row r="3685" spans="1:4" x14ac:dyDescent="0.25">
      <c r="A3685" t="str">
        <f>T("   020230")</f>
        <v xml:space="preserve">   020230</v>
      </c>
      <c r="B3685" t="str">
        <f>T("   Viandes désossées de bovins, congelées")</f>
        <v xml:space="preserve">   Viandes désossées de bovins, congelées</v>
      </c>
      <c r="C3685">
        <v>1989527</v>
      </c>
      <c r="D3685">
        <v>1433</v>
      </c>
    </row>
    <row r="3686" spans="1:4" x14ac:dyDescent="0.25">
      <c r="A3686" t="str">
        <f>T("   020312")</f>
        <v xml:space="preserve">   020312</v>
      </c>
      <c r="B3686" t="str">
        <f>T("   JAMBONS, ÉPAULES ET LEURS MORCEAUX, NON-DÉSOSSÉS, DE PORCINS, FRAIS OU RÉFRIGÉRÉS")</f>
        <v xml:space="preserve">   JAMBONS, ÉPAULES ET LEURS MORCEAUX, NON-DÉSOSSÉS, DE PORCINS, FRAIS OU RÉFRIGÉRÉS</v>
      </c>
      <c r="C3686">
        <v>11849097</v>
      </c>
      <c r="D3686">
        <v>16619</v>
      </c>
    </row>
    <row r="3687" spans="1:4" x14ac:dyDescent="0.25">
      <c r="A3687" t="str">
        <f>T("   020329")</f>
        <v xml:space="preserve">   020329</v>
      </c>
      <c r="B3687" t="str">
        <f>T("   VIANDES DES ANIMAUX DE L'ESPÈCE PORCINE, CONGELÉES (À L'EXCL. DES CARCASSES OU DEMI-CARCASSES ET DES JAMBONS, ÉPAULES ET LEURS MORCEAUX, NON-DÉSOSSÉS)")</f>
        <v xml:space="preserve">   VIANDES DES ANIMAUX DE L'ESPÈCE PORCINE, CONGELÉES (À L'EXCL. DES CARCASSES OU DEMI-CARCASSES ET DES JAMBONS, ÉPAULES ET LEURS MORCEAUX, NON-DÉSOSSÉS)</v>
      </c>
      <c r="C3687">
        <v>558241</v>
      </c>
      <c r="D3687">
        <v>146</v>
      </c>
    </row>
    <row r="3688" spans="1:4" x14ac:dyDescent="0.25">
      <c r="A3688" t="str">
        <f>T("   020430")</f>
        <v xml:space="preserve">   020430</v>
      </c>
      <c r="B3688" t="str">
        <f>T("   Carcasses ou demi-carcasses, d'agneaux, congelées")</f>
        <v xml:space="preserve">   Carcasses ou demi-carcasses, d'agneaux, congelées</v>
      </c>
      <c r="C3688">
        <v>26946835</v>
      </c>
      <c r="D3688">
        <v>18240</v>
      </c>
    </row>
    <row r="3689" spans="1:4" x14ac:dyDescent="0.25">
      <c r="A3689" t="str">
        <f>T("   020441")</f>
        <v xml:space="preserve">   020441</v>
      </c>
      <c r="B3689" t="str">
        <f>T("   Carcasses ou demi-carcasses, d'ovins (à l'excl. des carcasses ou demi-carcasses d'agneaux), congelées")</f>
        <v xml:space="preserve">   Carcasses ou demi-carcasses, d'ovins (à l'excl. des carcasses ou demi-carcasses d'agneaux), congelées</v>
      </c>
      <c r="C3689">
        <v>4996447</v>
      </c>
      <c r="D3689">
        <v>3331</v>
      </c>
    </row>
    <row r="3690" spans="1:4" x14ac:dyDescent="0.25">
      <c r="A3690" t="str">
        <f>T("   020442")</f>
        <v xml:space="preserve">   020442</v>
      </c>
      <c r="B3690" t="str">
        <f>T("   MORCEAUX NON-DÉSOSSÉS, D'OVINS, CONGELÉS (À L'EXCL. DES CARCASSES OU DEMI-CARCASSES)")</f>
        <v xml:space="preserve">   MORCEAUX NON-DÉSOSSÉS, D'OVINS, CONGELÉS (À L'EXCL. DES CARCASSES OU DEMI-CARCASSES)</v>
      </c>
      <c r="C3690">
        <v>2147613</v>
      </c>
      <c r="D3690">
        <v>2939</v>
      </c>
    </row>
    <row r="3691" spans="1:4" x14ac:dyDescent="0.25">
      <c r="A3691" t="str">
        <f>T("   020621")</f>
        <v xml:space="preserve">   020621</v>
      </c>
      <c r="B3691" t="str">
        <f>T("   Langues de bovins, comestibles, congelées")</f>
        <v xml:space="preserve">   Langues de bovins, comestibles, congelées</v>
      </c>
      <c r="C3691">
        <v>65596</v>
      </c>
      <c r="D3691">
        <v>37</v>
      </c>
    </row>
    <row r="3692" spans="1:4" x14ac:dyDescent="0.25">
      <c r="A3692" t="str">
        <f>T("   020630")</f>
        <v xml:space="preserve">   020630</v>
      </c>
      <c r="B3692" t="str">
        <f>T("   Abats comestibles de porcins, frais ou réfrigérés")</f>
        <v xml:space="preserve">   Abats comestibles de porcins, frais ou réfrigérés</v>
      </c>
      <c r="C3692">
        <v>1162296</v>
      </c>
      <c r="D3692">
        <v>1913</v>
      </c>
    </row>
    <row r="3693" spans="1:4" x14ac:dyDescent="0.25">
      <c r="A3693" t="str">
        <f>T("   020711")</f>
        <v xml:space="preserve">   020711</v>
      </c>
      <c r="B3693" t="str">
        <f>T("   COQS ET POULES [DES ESPÈCES DOMESTIQUES], NON-DÉCOUPÉS EN MORCEAUX, FRAIS OU RÉFRIGÉRÉS")</f>
        <v xml:space="preserve">   COQS ET POULES [DES ESPÈCES DOMESTIQUES], NON-DÉCOUPÉS EN MORCEAUX, FRAIS OU RÉFRIGÉRÉS</v>
      </c>
      <c r="C3693">
        <v>2232127</v>
      </c>
      <c r="D3693">
        <v>3971</v>
      </c>
    </row>
    <row r="3694" spans="1:4" x14ac:dyDescent="0.25">
      <c r="A3694" t="str">
        <f>T("   020712")</f>
        <v xml:space="preserve">   020712</v>
      </c>
      <c r="B3694" t="str">
        <f>T("   COQS ET POULES [DES ESPÈCES DOMESTIQUES], NON-DÉCOUPÉS EN MORCEAUX, CONGELÉS")</f>
        <v xml:space="preserve">   COQS ET POULES [DES ESPÈCES DOMESTIQUES], NON-DÉCOUPÉS EN MORCEAUX, CONGELÉS</v>
      </c>
      <c r="C3694">
        <v>3200521705</v>
      </c>
      <c r="D3694">
        <v>5243501</v>
      </c>
    </row>
    <row r="3695" spans="1:4" x14ac:dyDescent="0.25">
      <c r="A3695" t="str">
        <f>T("   020714")</f>
        <v xml:space="preserve">   020714</v>
      </c>
      <c r="B3695" t="str">
        <f>T("   Morceaux et abats comestibles de coqs et de poules [des espèces domestiques], congelés")</f>
        <v xml:space="preserve">   Morceaux et abats comestibles de coqs et de poules [des espèces domestiques], congelés</v>
      </c>
      <c r="C3695">
        <v>8759204854</v>
      </c>
      <c r="D3695">
        <v>14430106</v>
      </c>
    </row>
    <row r="3696" spans="1:4" x14ac:dyDescent="0.25">
      <c r="A3696" t="str">
        <f>T("   020725")</f>
        <v xml:space="preserve">   020725</v>
      </c>
      <c r="B3696" t="str">
        <f>T("   DINDES ET DINDONS [DES ESPÈCES DOMESTIQUES], NON-DÉCOUPÉS EN MORCEAUX, CONGELÉS")</f>
        <v xml:space="preserve">   DINDES ET DINDONS [DES ESPÈCES DOMESTIQUES], NON-DÉCOUPÉS EN MORCEAUX, CONGELÉS</v>
      </c>
      <c r="C3696">
        <v>4453968</v>
      </c>
      <c r="D3696">
        <v>7159</v>
      </c>
    </row>
    <row r="3697" spans="1:4" x14ac:dyDescent="0.25">
      <c r="A3697" t="str">
        <f>T("   020727")</f>
        <v xml:space="preserve">   020727</v>
      </c>
      <c r="B3697" t="str">
        <f>T("   Morceaux et abats comestibles de dindes et dindons [des espèces domestiques], congelés")</f>
        <v xml:space="preserve">   Morceaux et abats comestibles de dindes et dindons [des espèces domestiques], congelés</v>
      </c>
      <c r="C3697">
        <v>11821308637</v>
      </c>
      <c r="D3697">
        <v>19588088</v>
      </c>
    </row>
    <row r="3698" spans="1:4" x14ac:dyDescent="0.25">
      <c r="A3698" t="str">
        <f>T("   020735")</f>
        <v xml:space="preserve">   020735</v>
      </c>
      <c r="B3698" t="str">
        <f>T("   Morceaux et abats comestibles de canards, d'oies ou de pintades [des espèces domestiques], frais ou réfrigérés (à l'excl. des foies gras)")</f>
        <v xml:space="preserve">   Morceaux et abats comestibles de canards, d'oies ou de pintades [des espèces domestiques], frais ou réfrigérés (à l'excl. des foies gras)</v>
      </c>
      <c r="C3698">
        <v>139719</v>
      </c>
      <c r="D3698">
        <v>52</v>
      </c>
    </row>
    <row r="3699" spans="1:4" x14ac:dyDescent="0.25">
      <c r="A3699" t="str">
        <f>T("   020736")</f>
        <v xml:space="preserve">   020736</v>
      </c>
      <c r="B3699" t="str">
        <f>T("   Morceaux et abats comestibles de canards, d'oies ou de pintades [des espèces domestiques], congelés (à l'excl. des foies gras)")</f>
        <v xml:space="preserve">   Morceaux et abats comestibles de canards, d'oies ou de pintades [des espèces domestiques], congelés (à l'excl. des foies gras)</v>
      </c>
      <c r="C3699">
        <v>59685516</v>
      </c>
      <c r="D3699">
        <v>100512</v>
      </c>
    </row>
    <row r="3700" spans="1:4" x14ac:dyDescent="0.25">
      <c r="A3700" t="str">
        <f>T("   020810")</f>
        <v xml:space="preserve">   020810</v>
      </c>
      <c r="B3700" t="str">
        <f>T("   Viandes et abats comestibles de lapins ou de lièvres, frais, réfrigérés ou congelés")</f>
        <v xml:space="preserve">   Viandes et abats comestibles de lapins ou de lièvres, frais, réfrigérés ou congelés</v>
      </c>
      <c r="C3700">
        <v>35897411</v>
      </c>
      <c r="D3700">
        <v>48082</v>
      </c>
    </row>
    <row r="3701" spans="1:4" x14ac:dyDescent="0.25">
      <c r="A3701" t="str">
        <f>T("   020820")</f>
        <v xml:space="preserve">   020820</v>
      </c>
      <c r="B3701" t="str">
        <f>T("   Cuisses de grenouilles, fraîches, réfrigérées ou congelées")</f>
        <v xml:space="preserve">   Cuisses de grenouilles, fraîches, réfrigérées ou congelées</v>
      </c>
      <c r="C3701">
        <v>12463</v>
      </c>
      <c r="D3701">
        <v>10</v>
      </c>
    </row>
    <row r="3702" spans="1:4" x14ac:dyDescent="0.25">
      <c r="A3702" t="str">
        <f>T("   020890")</f>
        <v xml:space="preserve">   020890</v>
      </c>
      <c r="B3702" t="s">
        <v>13</v>
      </c>
      <c r="C3702">
        <v>7309364</v>
      </c>
      <c r="D3702">
        <v>24451</v>
      </c>
    </row>
    <row r="3703" spans="1:4" x14ac:dyDescent="0.25">
      <c r="A3703" t="str">
        <f>T("   020900")</f>
        <v xml:space="preserve">   020900</v>
      </c>
      <c r="B3703" t="str">
        <f>T("   LARD SANS PARTIES MAIGRES, GRAISSE DE PORC ET GRAISSE DE VOLAILLES NON-FONDUES NI AUTREMENT EXTRAITES, FRAIS, RÉFRIGÉRÉS, CONGELÉS, SALÉS OU EN SAUMURE, SÉCHÉS OU FUMÉS")</f>
        <v xml:space="preserve">   LARD SANS PARTIES MAIGRES, GRAISSE DE PORC ET GRAISSE DE VOLAILLES NON-FONDUES NI AUTREMENT EXTRAITES, FRAIS, RÉFRIGÉRÉS, CONGELÉS, SALÉS OU EN SAUMURE, SÉCHÉS OU FUMÉS</v>
      </c>
      <c r="C3703">
        <v>1714679</v>
      </c>
      <c r="D3703">
        <v>1802</v>
      </c>
    </row>
    <row r="3704" spans="1:4" x14ac:dyDescent="0.25">
      <c r="A3704" t="str">
        <f>T("   021011")</f>
        <v xml:space="preserve">   021011</v>
      </c>
      <c r="B3704" t="str">
        <f>T("   JAMBONS, ÉPAULES ET LEURS MORCEAUX, NON-DÉSOSSÉS, DE PORCINS, SALÉS OU EN SAUMURE, SÉCHÉS OU FUMÉS")</f>
        <v xml:space="preserve">   JAMBONS, ÉPAULES ET LEURS MORCEAUX, NON-DÉSOSSÉS, DE PORCINS, SALÉS OU EN SAUMURE, SÉCHÉS OU FUMÉS</v>
      </c>
      <c r="C3704">
        <v>11632893</v>
      </c>
      <c r="D3704">
        <v>22666</v>
      </c>
    </row>
    <row r="3705" spans="1:4" x14ac:dyDescent="0.25">
      <c r="A3705" t="str">
        <f>T("   021019")</f>
        <v xml:space="preserve">   021019</v>
      </c>
      <c r="B3705" t="str">
        <f>T("   VIANDES DE PORCINS, SALÉES OU EN SAUMURE, SÉCHÉES OU FUMÉES (À L'EXCL. DES JAMBONS, ÉPAULES ET LEURS MORCEAUX, NON-DÉSOSSÉS, AINSI QUE DES POITRINES [ENTRELARDÉS] ET LEURS MORCEAUX)")</f>
        <v xml:space="preserve">   VIANDES DE PORCINS, SALÉES OU EN SAUMURE, SÉCHÉES OU FUMÉES (À L'EXCL. DES JAMBONS, ÉPAULES ET LEURS MORCEAUX, NON-DÉSOSSÉS, AINSI QUE DES POITRINES [ENTRELARDÉS] ET LEURS MORCEAUX)</v>
      </c>
      <c r="C3705">
        <v>4045995</v>
      </c>
      <c r="D3705">
        <v>6592</v>
      </c>
    </row>
    <row r="3706" spans="1:4" x14ac:dyDescent="0.25">
      <c r="A3706" t="str">
        <f>T("   021099")</f>
        <v xml:space="preserve">   021099</v>
      </c>
      <c r="B3706" t="s">
        <v>14</v>
      </c>
      <c r="C3706">
        <v>18695516</v>
      </c>
      <c r="D3706">
        <v>29625</v>
      </c>
    </row>
    <row r="3707" spans="1:4" x14ac:dyDescent="0.25">
      <c r="A3707" t="str">
        <f>T("   030269")</f>
        <v xml:space="preserve">   030269</v>
      </c>
      <c r="B3707" t="s">
        <v>16</v>
      </c>
      <c r="C3707">
        <v>617914</v>
      </c>
      <c r="D3707">
        <v>2179</v>
      </c>
    </row>
    <row r="3708" spans="1:4" x14ac:dyDescent="0.25">
      <c r="A3708" t="str">
        <f>T("   030319")</f>
        <v xml:space="preserve">   030319</v>
      </c>
      <c r="B3708" t="str">
        <f>T("   Saumons du Pacifique [Oncorhynchus gorbuscha, Oncorhynchus keta, Oncorhynchus tschawytscha, Oncorhynchus kisutch, Oncorhynchus masou et Oncorhynchus rhodurus], congelés (à l'excl. des saumons rouges [Oncorhynchus nerka])")</f>
        <v xml:space="preserve">   Saumons du Pacifique [Oncorhynchus gorbuscha, Oncorhynchus keta, Oncorhynchus tschawytscha, Oncorhynchus kisutch, Oncorhynchus masou et Oncorhynchus rhodurus], congelés (à l'excl. des saumons rouges [Oncorhynchus nerka])</v>
      </c>
      <c r="C3708">
        <v>252544</v>
      </c>
      <c r="D3708">
        <v>301</v>
      </c>
    </row>
    <row r="3709" spans="1:4" x14ac:dyDescent="0.25">
      <c r="A3709" t="str">
        <f>T("   030322")</f>
        <v xml:space="preserve">   030322</v>
      </c>
      <c r="B3709" t="str">
        <f>T("   Saumons de l'Atlantique [Salmo salar] et saumons du Danube [Hucho hucho], congelés")</f>
        <v xml:space="preserve">   Saumons de l'Atlantique [Salmo salar] et saumons du Danube [Hucho hucho], congelés</v>
      </c>
      <c r="C3709">
        <v>234178</v>
      </c>
      <c r="D3709">
        <v>300</v>
      </c>
    </row>
    <row r="3710" spans="1:4" x14ac:dyDescent="0.25">
      <c r="A3710" t="str">
        <f>T("   030329")</f>
        <v xml:space="preserve">   030329</v>
      </c>
      <c r="B3710" t="str">
        <f>T("   Salmonidés, congelés (à l'excl. des saumons du Pacifique, de l'Atlantique et du Danube ainsi que des truites)")</f>
        <v xml:space="preserve">   Salmonidés, congelés (à l'excl. des saumons du Pacifique, de l'Atlantique et du Danube ainsi que des truites)</v>
      </c>
      <c r="C3710">
        <v>13351672</v>
      </c>
      <c r="D3710">
        <v>75265</v>
      </c>
    </row>
    <row r="3711" spans="1:4" x14ac:dyDescent="0.25">
      <c r="A3711" t="str">
        <f>T("   030339")</f>
        <v xml:space="preserve">   030339</v>
      </c>
      <c r="B3711" t="str">
        <f>T("   Poissons plats [pleuronectidés, bothidés, cynoglossidés, soléidés, scophthalmidés et citharidés], congelés (à l'excl. des flétans, des plies ou carrelets et des soles)")</f>
        <v xml:space="preserve">   Poissons plats [pleuronectidés, bothidés, cynoglossidés, soléidés, scophthalmidés et citharidés], congelés (à l'excl. des flétans, des plies ou carrelets et des soles)</v>
      </c>
      <c r="C3711">
        <v>4375253</v>
      </c>
      <c r="D3711">
        <v>25000</v>
      </c>
    </row>
    <row r="3712" spans="1:4" x14ac:dyDescent="0.25">
      <c r="A3712" t="str">
        <f>T("   030379")</f>
        <v xml:space="preserve">   030379</v>
      </c>
      <c r="B3712" t="s">
        <v>17</v>
      </c>
      <c r="C3712">
        <v>3973510321</v>
      </c>
      <c r="D3712">
        <v>20549633</v>
      </c>
    </row>
    <row r="3713" spans="1:4" x14ac:dyDescent="0.25">
      <c r="A3713" t="str">
        <f>T("   030420")</f>
        <v xml:space="preserve">   030420</v>
      </c>
      <c r="B3713" t="str">
        <f>T("   Filets de poissons, congelés")</f>
        <v xml:space="preserve">   Filets de poissons, congelés</v>
      </c>
      <c r="C3713">
        <v>1318480</v>
      </c>
      <c r="D3713">
        <v>1062</v>
      </c>
    </row>
    <row r="3714" spans="1:4" x14ac:dyDescent="0.25">
      <c r="A3714" t="str">
        <f>T("   030490")</f>
        <v xml:space="preserve">   030490</v>
      </c>
      <c r="B3714" t="str">
        <f>T("   Chair de poissons (sauf filets), même hachée, congelée")</f>
        <v xml:space="preserve">   Chair de poissons (sauf filets), même hachée, congelée</v>
      </c>
      <c r="C3714">
        <v>195476</v>
      </c>
      <c r="D3714">
        <v>180</v>
      </c>
    </row>
    <row r="3715" spans="1:4" x14ac:dyDescent="0.25">
      <c r="A3715" t="str">
        <f>T("   030520")</f>
        <v xml:space="preserve">   030520</v>
      </c>
      <c r="B3715" t="str">
        <f>T("   Foies, oeufs et laitances de poissons, séchés, fumés, salés ou en saumure")</f>
        <v xml:space="preserve">   Foies, oeufs et laitances de poissons, séchés, fumés, salés ou en saumure</v>
      </c>
      <c r="C3715">
        <v>4745214</v>
      </c>
      <c r="D3715">
        <v>5400</v>
      </c>
    </row>
    <row r="3716" spans="1:4" x14ac:dyDescent="0.25">
      <c r="A3716" t="str">
        <f>T("   030530")</f>
        <v xml:space="preserve">   030530</v>
      </c>
      <c r="B3716" t="str">
        <f>T("   FILETS DE POISSONS, SÉCHÉS, SALÉS OU EN SAUMURE, MAIS NON-FUMÉS")</f>
        <v xml:space="preserve">   FILETS DE POISSONS, SÉCHÉS, SALÉS OU EN SAUMURE, MAIS NON-FUMÉS</v>
      </c>
      <c r="C3716">
        <v>1480501</v>
      </c>
      <c r="D3716">
        <v>606</v>
      </c>
    </row>
    <row r="3717" spans="1:4" x14ac:dyDescent="0.25">
      <c r="A3717" t="str">
        <f>T("   030569")</f>
        <v xml:space="preserve">   030569</v>
      </c>
      <c r="B3717" t="str">
        <f>T("   Poissons, uniquement salés ou en saumure (à l'excl. des harengs, des morues, des anchois ainsi que de tous les filets de poissons)")</f>
        <v xml:space="preserve">   Poissons, uniquement salés ou en saumure (à l'excl. des harengs, des morues, des anchois ainsi que de tous les filets de poissons)</v>
      </c>
      <c r="C3717">
        <v>14431</v>
      </c>
      <c r="D3717">
        <v>44</v>
      </c>
    </row>
    <row r="3718" spans="1:4" x14ac:dyDescent="0.25">
      <c r="A3718" t="str">
        <f>T("   030613")</f>
        <v xml:space="preserve">   030613</v>
      </c>
      <c r="B3718" t="str">
        <f>T("   CREVETTES, MÊME DÉCORTIQUÉES, CONGELÉES, Y.C. LES CREVETTES NON-DÉCORTIQUÉES PRÉALABLEMENT CUITES À L'EAU OU À LA VAPEUR")</f>
        <v xml:space="preserve">   CREVETTES, MÊME DÉCORTIQUÉES, CONGELÉES, Y.C. LES CREVETTES NON-DÉCORTIQUÉES PRÉALABLEMENT CUITES À L'EAU OU À LA VAPEUR</v>
      </c>
      <c r="C3718">
        <v>1716648</v>
      </c>
      <c r="D3718">
        <v>1103</v>
      </c>
    </row>
    <row r="3719" spans="1:4" x14ac:dyDescent="0.25">
      <c r="A3719" t="str">
        <f>T("   030623")</f>
        <v xml:space="preserve">   030623</v>
      </c>
      <c r="B3719" t="str">
        <f>T("   CREVETTES, MÊME DÉCORTIQUÉES, VIVANTES, FRAÎCHES, RÉFRIGÉRÉES, SÉCHÉES, SALÉES OU EN SAUMURE, Y.C. LES CREVETTES NON-DÉCORTIQUÉES PRÉALABLEMENT CUITES À L'EAU OU À LA VAPEUR")</f>
        <v xml:space="preserve">   CREVETTES, MÊME DÉCORTIQUÉES, VIVANTES, FRAÎCHES, RÉFRIGÉRÉES, SÉCHÉES, SALÉES OU EN SAUMURE, Y.C. LES CREVETTES NON-DÉCORTIQUÉES PRÉALABLEMENT CUITES À L'EAU OU À LA VAPEUR</v>
      </c>
      <c r="C3719">
        <v>793056</v>
      </c>
      <c r="D3719">
        <v>2511</v>
      </c>
    </row>
    <row r="3720" spans="1:4" x14ac:dyDescent="0.25">
      <c r="A3720" t="str">
        <f>T("   030710")</f>
        <v xml:space="preserve">   030710</v>
      </c>
      <c r="B3720" t="str">
        <f>T("   Huîtres, vivantes, fraîches, réfrigérées, congelées, séchées, salées ou en saumure")</f>
        <v xml:space="preserve">   Huîtres, vivantes, fraîches, réfrigérées, congelées, séchées, salées ou en saumure</v>
      </c>
      <c r="C3720">
        <v>751074</v>
      </c>
      <c r="D3720">
        <v>252</v>
      </c>
    </row>
    <row r="3721" spans="1:4" x14ac:dyDescent="0.25">
      <c r="A3721" t="str">
        <f>T("   030739")</f>
        <v xml:space="preserve">   030739</v>
      </c>
      <c r="B3721" t="str">
        <f>T("   Moules [Mytilus spp., Perna spp.], même séparées de leur coquille, congelées, séchées, salées ou en saumure")</f>
        <v xml:space="preserve">   Moules [Mytilus spp., Perna spp.], même séparées de leur coquille, congelées, séchées, salées ou en saumure</v>
      </c>
      <c r="C3721">
        <v>522144</v>
      </c>
      <c r="D3721">
        <v>811</v>
      </c>
    </row>
    <row r="3722" spans="1:4" x14ac:dyDescent="0.25">
      <c r="A3722" t="str">
        <f>T("   040110")</f>
        <v xml:space="preserve">   040110</v>
      </c>
      <c r="B3722" t="str">
        <f>T("   LAIT ET CRÈME DE LAIT, NON-CONCENTRÉS NI ADDITIONNÉS DE SUCRE OU D'AUTRES ÉDULCORANTS, D'UNE TENEUR EN POIDS DE MATIÈRES GRASSES &lt;= 1%")</f>
        <v xml:space="preserve">   LAIT ET CRÈME DE LAIT, NON-CONCENTRÉS NI ADDITIONNÉS DE SUCRE OU D'AUTRES ÉDULCORANTS, D'UNE TENEUR EN POIDS DE MATIÈRES GRASSES &lt;= 1%</v>
      </c>
      <c r="C3722">
        <v>6322366</v>
      </c>
      <c r="D3722">
        <v>13556</v>
      </c>
    </row>
    <row r="3723" spans="1:4" x14ac:dyDescent="0.25">
      <c r="A3723" t="str">
        <f>T("   040120")</f>
        <v xml:space="preserve">   040120</v>
      </c>
      <c r="B3723"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3723">
        <v>325150250</v>
      </c>
      <c r="D3723">
        <v>707307.5</v>
      </c>
    </row>
    <row r="3724" spans="1:4" x14ac:dyDescent="0.25">
      <c r="A3724" t="str">
        <f>T("   040130")</f>
        <v xml:space="preserve">   040130</v>
      </c>
      <c r="B3724" t="str">
        <f>T("   LAIT ET CRÈME DE LAIT, NON-CONCENTRÉS NI ADDITIONNÉS DE SUCRE OU D'AUTRES ÉDULCORANTS, D'UNE TENEUR EN POIDS DE MATIÈRES GRASSES &gt; 6%")</f>
        <v xml:space="preserve">   LAIT ET CRÈME DE LAIT, NON-CONCENTRÉS NI ADDITIONNÉS DE SUCRE OU D'AUTRES ÉDULCORANTS, D'UNE TENEUR EN POIDS DE MATIÈRES GRASSES &gt; 6%</v>
      </c>
      <c r="C3724">
        <v>53804641</v>
      </c>
      <c r="D3724">
        <v>98906</v>
      </c>
    </row>
    <row r="3725" spans="1:4" x14ac:dyDescent="0.25">
      <c r="A3725" t="str">
        <f>T("   040210")</f>
        <v xml:space="preserve">   040210</v>
      </c>
      <c r="B3725"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3725">
        <v>100655178</v>
      </c>
      <c r="D3725">
        <v>118631</v>
      </c>
    </row>
    <row r="3726" spans="1:4" x14ac:dyDescent="0.25">
      <c r="A3726" t="str">
        <f>T("   040221")</f>
        <v xml:space="preserve">   040221</v>
      </c>
      <c r="B3726"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3726">
        <v>511574908</v>
      </c>
      <c r="D3726">
        <v>306274</v>
      </c>
    </row>
    <row r="3727" spans="1:4" x14ac:dyDescent="0.25">
      <c r="A3727" t="str">
        <f>T("   040291")</f>
        <v xml:space="preserve">   040291</v>
      </c>
      <c r="B3727"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3727">
        <v>127912</v>
      </c>
      <c r="D3727">
        <v>763</v>
      </c>
    </row>
    <row r="3728" spans="1:4" x14ac:dyDescent="0.25">
      <c r="A3728" t="str">
        <f>T("   040299")</f>
        <v xml:space="preserve">   040299</v>
      </c>
      <c r="B3728"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3728">
        <v>7483696</v>
      </c>
      <c r="D3728">
        <v>13233</v>
      </c>
    </row>
    <row r="3729" spans="1:4" x14ac:dyDescent="0.25">
      <c r="A3729" t="str">
        <f>T("   040310")</f>
        <v xml:space="preserve">   040310</v>
      </c>
      <c r="B3729" t="str">
        <f>T("   Yoghourts, même additionnés de sucre ou d'autres édulcorants ou aromatisés ou additionnés de fruits ou de cacao")</f>
        <v xml:space="preserve">   Yoghourts, même additionnés de sucre ou d'autres édulcorants ou aromatisés ou additionnés de fruits ou de cacao</v>
      </c>
      <c r="C3729">
        <v>84883378</v>
      </c>
      <c r="D3729">
        <v>53758</v>
      </c>
    </row>
    <row r="3730" spans="1:4" x14ac:dyDescent="0.25">
      <c r="A3730" t="str">
        <f>T("   040390")</f>
        <v xml:space="preserve">   040390</v>
      </c>
      <c r="B3730"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3730">
        <v>39101008</v>
      </c>
      <c r="D3730">
        <v>57114.92</v>
      </c>
    </row>
    <row r="3731" spans="1:4" x14ac:dyDescent="0.25">
      <c r="A3731" t="str">
        <f>T("   040510")</f>
        <v xml:space="preserve">   040510</v>
      </c>
      <c r="B3731" t="str">
        <f>T("   Beurre (sauf beurre déshydraté et ghee)")</f>
        <v xml:space="preserve">   Beurre (sauf beurre déshydraté et ghee)</v>
      </c>
      <c r="C3731">
        <v>163461208</v>
      </c>
      <c r="D3731">
        <v>168918.78</v>
      </c>
    </row>
    <row r="3732" spans="1:4" x14ac:dyDescent="0.25">
      <c r="A3732" t="str">
        <f>T("   040520")</f>
        <v xml:space="preserve">   040520</v>
      </c>
      <c r="B3732" t="str">
        <f>T("   Pâtes à tartiner laitières d'une teneur en matières grasses laitières &gt;= 39% mais &lt; 80% en poids")</f>
        <v xml:space="preserve">   Pâtes à tartiner laitières d'une teneur en matières grasses laitières &gt;= 39% mais &lt; 80% en poids</v>
      </c>
      <c r="C3732">
        <v>8979929</v>
      </c>
      <c r="D3732">
        <v>9015</v>
      </c>
    </row>
    <row r="3733" spans="1:4" x14ac:dyDescent="0.25">
      <c r="A3733" t="str">
        <f>T("   040610")</f>
        <v xml:space="preserve">   040610</v>
      </c>
      <c r="B3733" t="str">
        <f>T("   FROMAGES FRAIS [NON-AFFINÉS], Y.C. LE FROMAGE DE LACTOSÉRUM, ET CAILLEBOTTE [01/01/1988-31/12/1991: FROMAGES FRAIS [NON AFFINES], Y.C. LE FROMAGE DE LACTOSERUM, NON FERMENTES, ET CAILLEBOTTE]")</f>
        <v xml:space="preserve">   FROMAGES FRAIS [NON-AFFINÉS], Y.C. LE FROMAGE DE LACTOSÉRUM, ET CAILLEBOTTE [01/01/1988-31/12/1991: FROMAGES FRAIS [NON AFFINES], Y.C. LE FROMAGE DE LACTOSERUM, NON FERMENTES, ET CAILLEBOTTE]</v>
      </c>
      <c r="C3733">
        <v>1528767</v>
      </c>
      <c r="D3733">
        <v>2095</v>
      </c>
    </row>
    <row r="3734" spans="1:4" x14ac:dyDescent="0.25">
      <c r="A3734" t="str">
        <f>T("   040620")</f>
        <v xml:space="preserve">   040620</v>
      </c>
      <c r="B3734" t="str">
        <f>T("   Fromages râpés ou en poudre, de tous types")</f>
        <v xml:space="preserve">   Fromages râpés ou en poudre, de tous types</v>
      </c>
      <c r="C3734">
        <v>45261</v>
      </c>
      <c r="D3734">
        <v>185</v>
      </c>
    </row>
    <row r="3735" spans="1:4" x14ac:dyDescent="0.25">
      <c r="A3735" t="str">
        <f>T("   040630")</f>
        <v xml:space="preserve">   040630</v>
      </c>
      <c r="B3735" t="str">
        <f>T("   Fromages fondus (à l'excl. des fromages râpés ou en poudre)")</f>
        <v xml:space="preserve">   Fromages fondus (à l'excl. des fromages râpés ou en poudre)</v>
      </c>
      <c r="C3735">
        <v>48199943</v>
      </c>
      <c r="D3735">
        <v>51650</v>
      </c>
    </row>
    <row r="3736" spans="1:4" x14ac:dyDescent="0.25">
      <c r="A3736" t="str">
        <f>T("   040640")</f>
        <v xml:space="preserve">   040640</v>
      </c>
      <c r="B3736" t="str">
        <f>T("   FROMAGES À PÂTE PERSILLÉE ET AUTRES FROMAGES PRÉSENTANT DES MARBRURES OBTENUES EN UTILISANT DU 'PENICILLIUM ROQUEFORTI'")</f>
        <v xml:space="preserve">   FROMAGES À PÂTE PERSILLÉE ET AUTRES FROMAGES PRÉSENTANT DES MARBRURES OBTENUES EN UTILISANT DU 'PENICILLIUM ROQUEFORTI'</v>
      </c>
      <c r="C3736">
        <v>73468</v>
      </c>
      <c r="D3736">
        <v>122</v>
      </c>
    </row>
    <row r="3737" spans="1:4" x14ac:dyDescent="0.25">
      <c r="A3737" t="str">
        <f>T("   040690")</f>
        <v xml:space="preserve">   040690</v>
      </c>
      <c r="B3737" t="s">
        <v>18</v>
      </c>
      <c r="C3737">
        <v>227855455</v>
      </c>
      <c r="D3737">
        <v>262427</v>
      </c>
    </row>
    <row r="3738" spans="1:4" x14ac:dyDescent="0.25">
      <c r="A3738" t="str">
        <f>T("   040900")</f>
        <v xml:space="preserve">   040900</v>
      </c>
      <c r="B3738" t="str">
        <f>T("   Miel naturel")</f>
        <v xml:space="preserve">   Miel naturel</v>
      </c>
      <c r="C3738">
        <v>247297</v>
      </c>
      <c r="D3738">
        <v>150</v>
      </c>
    </row>
    <row r="3739" spans="1:4" x14ac:dyDescent="0.25">
      <c r="A3739" t="str">
        <f>T("   050400")</f>
        <v xml:space="preserve">   050400</v>
      </c>
      <c r="B3739"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3739">
        <v>25526796</v>
      </c>
      <c r="D3739">
        <v>41040</v>
      </c>
    </row>
    <row r="3740" spans="1:4" x14ac:dyDescent="0.25">
      <c r="A3740" t="str">
        <f>T("   060499")</f>
        <v xml:space="preserve">   060499</v>
      </c>
      <c r="B3740" t="str">
        <f>T("   Feuillages, feuilles, rameaux et autres parties de plantes, sans fleurs ni boutons de fleurs, et herbes, pour bouquets ou pour ornements, séchés, blanchis, teints, imprégnés ou autrement travaillés")</f>
        <v xml:space="preserve">   Feuillages, feuilles, rameaux et autres parties de plantes, sans fleurs ni boutons de fleurs, et herbes, pour bouquets ou pour ornements, séchés, blanchis, teints, imprégnés ou autrement travaillés</v>
      </c>
      <c r="C3740">
        <v>450000</v>
      </c>
      <c r="D3740">
        <v>831</v>
      </c>
    </row>
    <row r="3741" spans="1:4" x14ac:dyDescent="0.25">
      <c r="A3741" t="str">
        <f>T("   070110")</f>
        <v xml:space="preserve">   070110</v>
      </c>
      <c r="B3741" t="str">
        <f>T("   Pommes de terre de semence")</f>
        <v xml:space="preserve">   Pommes de terre de semence</v>
      </c>
      <c r="C3741">
        <v>13258235</v>
      </c>
      <c r="D3741">
        <v>30000</v>
      </c>
    </row>
    <row r="3742" spans="1:4" x14ac:dyDescent="0.25">
      <c r="A3742" t="str">
        <f>T("   070190")</f>
        <v xml:space="preserve">   070190</v>
      </c>
      <c r="B3742" t="str">
        <f>T("   Pommes de terre, à l'état frais ou réfrigéré (à l'excl. des pommes de terre de semence)")</f>
        <v xml:space="preserve">   Pommes de terre, à l'état frais ou réfrigéré (à l'excl. des pommes de terre de semence)</v>
      </c>
      <c r="C3742">
        <v>24413334</v>
      </c>
      <c r="D3742">
        <v>99557</v>
      </c>
    </row>
    <row r="3743" spans="1:4" x14ac:dyDescent="0.25">
      <c r="A3743" t="str">
        <f>T("   070310")</f>
        <v xml:space="preserve">   070310</v>
      </c>
      <c r="B3743" t="str">
        <f>T("   Oignons et échalotes, à l'état frais ou réfrigéré")</f>
        <v xml:space="preserve">   Oignons et échalotes, à l'état frais ou réfrigéré</v>
      </c>
      <c r="C3743">
        <v>986564</v>
      </c>
      <c r="D3743">
        <v>428</v>
      </c>
    </row>
    <row r="3744" spans="1:4" x14ac:dyDescent="0.25">
      <c r="A3744" t="str">
        <f>T("   070390")</f>
        <v xml:space="preserve">   070390</v>
      </c>
      <c r="B3744" t="str">
        <f>T("   Poireaux et autres légumes alliacés, à l'état frais ou réfrigéré (à l'excl. des oignons, des échalotes et des aulx)")</f>
        <v xml:space="preserve">   Poireaux et autres légumes alliacés, à l'état frais ou réfrigéré (à l'excl. des oignons, des échalotes et des aulx)</v>
      </c>
      <c r="C3744">
        <v>3022009</v>
      </c>
      <c r="D3744">
        <v>1502</v>
      </c>
    </row>
    <row r="3745" spans="1:4" x14ac:dyDescent="0.25">
      <c r="A3745" t="str">
        <f>T("   070490")</f>
        <v xml:space="preserve">   070490</v>
      </c>
      <c r="B3745" t="str">
        <f>T("   Choux, choux frisés, choux-raves et produits comestibles simil. du genre 'Brassica', à l'état frais ou réfrigéré (à l'excl. des choux-fleurs, des choux-fleurs brocolis et des choux de Bruxelles)")</f>
        <v xml:space="preserve">   Choux, choux frisés, choux-raves et produits comestibles simil. du genre 'Brassica', à l'état frais ou réfrigéré (à l'excl. des choux-fleurs, des choux-fleurs brocolis et des choux de Bruxelles)</v>
      </c>
      <c r="C3745">
        <v>714341</v>
      </c>
      <c r="D3745">
        <v>355</v>
      </c>
    </row>
    <row r="3746" spans="1:4" x14ac:dyDescent="0.25">
      <c r="A3746" t="str">
        <f>T("   070519")</f>
        <v xml:space="preserve">   070519</v>
      </c>
      <c r="B3746" t="str">
        <f>T("   Laitues 'Lactuca sativa', à l'état frais ou réfrigéré (à l'excl. des laitues pommées)")</f>
        <v xml:space="preserve">   Laitues 'Lactuca sativa', à l'état frais ou réfrigéré (à l'excl. des laitues pommées)</v>
      </c>
      <c r="C3746">
        <v>9759372</v>
      </c>
      <c r="D3746">
        <v>3654</v>
      </c>
    </row>
    <row r="3747" spans="1:4" x14ac:dyDescent="0.25">
      <c r="A3747" t="str">
        <f>T("   070610")</f>
        <v xml:space="preserve">   070610</v>
      </c>
      <c r="B3747" t="str">
        <f>T("   Carottes et navets, à l'état frais ou réfrigéré")</f>
        <v xml:space="preserve">   Carottes et navets, à l'état frais ou réfrigéré</v>
      </c>
      <c r="C3747">
        <v>1553970</v>
      </c>
      <c r="D3747">
        <v>738</v>
      </c>
    </row>
    <row r="3748" spans="1:4" x14ac:dyDescent="0.25">
      <c r="A3748" t="str">
        <f>T("   070690")</f>
        <v xml:space="preserve">   070690</v>
      </c>
      <c r="B3748" t="str">
        <f>T("   Betteraves à salade, salsifis, céleris-raves, radis et racines comestibles simil., à l'état frais ou réfrigéré (à l'excl. des carottes et des navets)")</f>
        <v xml:space="preserve">   Betteraves à salade, salsifis, céleris-raves, radis et racines comestibles simil., à l'état frais ou réfrigéré (à l'excl. des carottes et des navets)</v>
      </c>
      <c r="C3748">
        <v>2101040</v>
      </c>
      <c r="D3748">
        <v>1102</v>
      </c>
    </row>
    <row r="3749" spans="1:4" x14ac:dyDescent="0.25">
      <c r="A3749" t="str">
        <f>T("   070960")</f>
        <v xml:space="preserve">   070960</v>
      </c>
      <c r="B3749" t="str">
        <f>T("   Piments du genre 'Capsicum' ou du genre 'Pimenta', à l'état frais ou réfrigéré")</f>
        <v xml:space="preserve">   Piments du genre 'Capsicum' ou du genre 'Pimenta', à l'état frais ou réfrigéré</v>
      </c>
      <c r="C3749">
        <v>854060</v>
      </c>
      <c r="D3749">
        <v>382</v>
      </c>
    </row>
    <row r="3750" spans="1:4" x14ac:dyDescent="0.25">
      <c r="A3750" t="str">
        <f>T("   070990")</f>
        <v xml:space="preserve">   070990</v>
      </c>
      <c r="B3750" t="s">
        <v>19</v>
      </c>
      <c r="C3750">
        <v>759478</v>
      </c>
      <c r="D3750">
        <v>636</v>
      </c>
    </row>
    <row r="3751" spans="1:4" x14ac:dyDescent="0.25">
      <c r="A3751" t="str">
        <f>T("   071010")</f>
        <v xml:space="preserve">   071010</v>
      </c>
      <c r="B3751" t="str">
        <f>T("   Pommes de terre, non cuites ou cuites à l'eau ou à la vapeur, congelées")</f>
        <v xml:space="preserve">   Pommes de terre, non cuites ou cuites à l'eau ou à la vapeur, congelées</v>
      </c>
      <c r="C3751">
        <v>61312592</v>
      </c>
      <c r="D3751">
        <v>182711</v>
      </c>
    </row>
    <row r="3752" spans="1:4" x14ac:dyDescent="0.25">
      <c r="A3752" t="str">
        <f>T("   071021")</f>
        <v xml:space="preserve">   071021</v>
      </c>
      <c r="B3752" t="str">
        <f>T("   Pois 'Pisum sativum', écossés ou non, non cuits ou cuits à l'eau ou à la vapeur, congelés")</f>
        <v xml:space="preserve">   Pois 'Pisum sativum', écossés ou non, non cuits ou cuits à l'eau ou à la vapeur, congelés</v>
      </c>
      <c r="C3752">
        <v>6839040</v>
      </c>
      <c r="D3752">
        <v>12840</v>
      </c>
    </row>
    <row r="3753" spans="1:4" x14ac:dyDescent="0.25">
      <c r="A3753" t="str">
        <f>T("   071029")</f>
        <v xml:space="preserve">   071029</v>
      </c>
      <c r="B3753" t="str">
        <f>T("   Légumes à cosse, écossés ou non, non cuits ou cuits à l'eau ou à la vapeur, congelés (à l'excl. des pois 'Pisum sativum' et des haricots 'Vigna spp., Phaseolus spp.')")</f>
        <v xml:space="preserve">   Légumes à cosse, écossés ou non, non cuits ou cuits à l'eau ou à la vapeur, congelés (à l'excl. des pois 'Pisum sativum' et des haricots 'Vigna spp., Phaseolus spp.')</v>
      </c>
      <c r="C3753">
        <v>992467</v>
      </c>
      <c r="D3753">
        <v>3419</v>
      </c>
    </row>
    <row r="3754" spans="1:4" x14ac:dyDescent="0.25">
      <c r="A3754" t="str">
        <f>T("   071080")</f>
        <v xml:space="preserve">   071080</v>
      </c>
      <c r="B3754" t="str">
        <f>T("   LÉGUMES, NON-CUITS OU CUITS À L'EAU OU À LA VAPEUR, CONGELÉS (À L'EXCL. DES POMMES DE TERRE, DES LÉGUMES À COSSE, DES ÉPINARDS, DES TÉTRAGONES, DES ARROCHES ET DU MAÏS DOUX)")</f>
        <v xml:space="preserve">   LÉGUMES, NON-CUITS OU CUITS À L'EAU OU À LA VAPEUR, CONGELÉS (À L'EXCL. DES POMMES DE TERRE, DES LÉGUMES À COSSE, DES ÉPINARDS, DES TÉTRAGONES, DES ARROCHES ET DU MAÏS DOUX)</v>
      </c>
      <c r="C3754">
        <v>6629132</v>
      </c>
      <c r="D3754">
        <v>6762</v>
      </c>
    </row>
    <row r="3755" spans="1:4" x14ac:dyDescent="0.25">
      <c r="A3755" t="str">
        <f>T("   071090")</f>
        <v xml:space="preserve">   071090</v>
      </c>
      <c r="B3755" t="str">
        <f>T("   Mélanges de légumes, non cuits ou cuits à l'eau ou à la vapeur, congelés")</f>
        <v xml:space="preserve">   Mélanges de légumes, non cuits ou cuits à l'eau ou à la vapeur, congelés</v>
      </c>
      <c r="C3755">
        <v>30666787</v>
      </c>
      <c r="D3755">
        <v>58850</v>
      </c>
    </row>
    <row r="3756" spans="1:4" x14ac:dyDescent="0.25">
      <c r="A3756" t="str">
        <f>T("   071290")</f>
        <v xml:space="preserve">   071290</v>
      </c>
      <c r="B3756" t="str">
        <f>T("   LÉGUMES ET MÉLANGES DE LÉGUMES, SÉCHÉS, MÊME COUPÉS EN MORCEAUX OU EN TRANCHES OU BIEN BROYÉS OU PULVÉRISÉS, MAIS NON AUTREMENT PRÉPARÉS (À L'EXCL. DES OIGNONS, DES CHAMPIGNONS ET DES TRUFFES, NON-MÉLANGÉS)")</f>
        <v xml:space="preserve">   LÉGUMES ET MÉLANGES DE LÉGUMES, SÉCHÉS, MÊME COUPÉS EN MORCEAUX OU EN TRANCHES OU BIEN BROYÉS OU PULVÉRISÉS, MAIS NON AUTREMENT PRÉPARÉS (À L'EXCL. DES OIGNONS, DES CHAMPIGNONS ET DES TRUFFES, NON-MÉLANGÉS)</v>
      </c>
      <c r="C3756">
        <v>402759</v>
      </c>
      <c r="D3756">
        <v>690</v>
      </c>
    </row>
    <row r="3757" spans="1:4" x14ac:dyDescent="0.25">
      <c r="A3757" t="str">
        <f>T("   071333")</f>
        <v xml:space="preserve">   071333</v>
      </c>
      <c r="B3757" t="str">
        <f>T("   Haricots communs 'Phaseolus vulgaris', secs, écossés, même décortiqués ou cassés")</f>
        <v xml:space="preserve">   Haricots communs 'Phaseolus vulgaris', secs, écossés, même décortiqués ou cassés</v>
      </c>
      <c r="C3757">
        <v>448247</v>
      </c>
      <c r="D3757">
        <v>458</v>
      </c>
    </row>
    <row r="3758" spans="1:4" x14ac:dyDescent="0.25">
      <c r="A3758" t="str">
        <f>T("   080111")</f>
        <v xml:space="preserve">   080111</v>
      </c>
      <c r="B3758" t="str">
        <f>T("   Noix de coco, desséchées")</f>
        <v xml:space="preserve">   Noix de coco, desséchées</v>
      </c>
      <c r="C3758">
        <v>183013</v>
      </c>
      <c r="D3758">
        <v>90</v>
      </c>
    </row>
    <row r="3759" spans="1:4" x14ac:dyDescent="0.25">
      <c r="A3759" t="str">
        <f>T("   080212")</f>
        <v xml:space="preserve">   080212</v>
      </c>
      <c r="B3759" t="str">
        <f>T("   Amandes, fraîches ou sèches, sans coques, même décortiquées")</f>
        <v xml:space="preserve">   Amandes, fraîches ou sèches, sans coques, même décortiquées</v>
      </c>
      <c r="C3759">
        <v>1260099</v>
      </c>
      <c r="D3759">
        <v>2311</v>
      </c>
    </row>
    <row r="3760" spans="1:4" x14ac:dyDescent="0.25">
      <c r="A3760" t="str">
        <f>T("   080410")</f>
        <v xml:space="preserve">   080410</v>
      </c>
      <c r="B3760" t="str">
        <f>T("   Dattes, fraîches ou sèches")</f>
        <v xml:space="preserve">   Dattes, fraîches ou sèches</v>
      </c>
      <c r="C3760">
        <v>4558267</v>
      </c>
      <c r="D3760">
        <v>7735</v>
      </c>
    </row>
    <row r="3761" spans="1:4" x14ac:dyDescent="0.25">
      <c r="A3761" t="str">
        <f>T("   080510")</f>
        <v xml:space="preserve">   080510</v>
      </c>
      <c r="B3761" t="str">
        <f>T("   Oranges, fraîches ou sèches")</f>
        <v xml:space="preserve">   Oranges, fraîches ou sèches</v>
      </c>
      <c r="C3761">
        <v>1979827</v>
      </c>
      <c r="D3761">
        <v>7616</v>
      </c>
    </row>
    <row r="3762" spans="1:4" x14ac:dyDescent="0.25">
      <c r="A3762" t="str">
        <f>T("   080520")</f>
        <v xml:space="preserve">   080520</v>
      </c>
      <c r="B3762" t="str">
        <f>T("   Mandarines, y.c. les tangerines et les satsumas; clémentines, wilkings et hybrides simil. d'agrumes, frais ou secs")</f>
        <v xml:space="preserve">   Mandarines, y.c. les tangerines et les satsumas; clémentines, wilkings et hybrides simil. d'agrumes, frais ou secs</v>
      </c>
      <c r="C3762">
        <v>250221</v>
      </c>
      <c r="D3762">
        <v>2034</v>
      </c>
    </row>
    <row r="3763" spans="1:4" x14ac:dyDescent="0.25">
      <c r="A3763" t="str">
        <f>T("   080550")</f>
        <v xml:space="preserve">   080550</v>
      </c>
      <c r="B3763" t="s">
        <v>21</v>
      </c>
      <c r="C3763">
        <v>274187</v>
      </c>
      <c r="D3763">
        <v>1169</v>
      </c>
    </row>
    <row r="3764" spans="1:4" x14ac:dyDescent="0.25">
      <c r="A3764" t="str">
        <f>T("   080590")</f>
        <v xml:space="preserve">   080590</v>
      </c>
      <c r="B3764" t="s">
        <v>22</v>
      </c>
      <c r="C3764">
        <v>1072495</v>
      </c>
      <c r="D3764">
        <v>478</v>
      </c>
    </row>
    <row r="3765" spans="1:4" x14ac:dyDescent="0.25">
      <c r="A3765" t="str">
        <f>T("   080610")</f>
        <v xml:space="preserve">   080610</v>
      </c>
      <c r="B3765" t="str">
        <f>T("   Raisins, frais")</f>
        <v xml:space="preserve">   Raisins, frais</v>
      </c>
      <c r="C3765">
        <v>26284849</v>
      </c>
      <c r="D3765">
        <v>64233</v>
      </c>
    </row>
    <row r="3766" spans="1:4" x14ac:dyDescent="0.25">
      <c r="A3766" t="str">
        <f>T("   080620")</f>
        <v xml:space="preserve">   080620</v>
      </c>
      <c r="B3766" t="str">
        <f>T("   Raisins, secs")</f>
        <v xml:space="preserve">   Raisins, secs</v>
      </c>
      <c r="C3766">
        <v>2261750</v>
      </c>
      <c r="D3766">
        <v>2720</v>
      </c>
    </row>
    <row r="3767" spans="1:4" x14ac:dyDescent="0.25">
      <c r="A3767" t="str">
        <f>T("   080810")</f>
        <v xml:space="preserve">   080810</v>
      </c>
      <c r="B3767" t="str">
        <f>T("   Pommes, fraîches")</f>
        <v xml:space="preserve">   Pommes, fraîches</v>
      </c>
      <c r="C3767">
        <v>270787303</v>
      </c>
      <c r="D3767">
        <v>869594</v>
      </c>
    </row>
    <row r="3768" spans="1:4" x14ac:dyDescent="0.25">
      <c r="A3768" t="str">
        <f>T("   080820")</f>
        <v xml:space="preserve">   080820</v>
      </c>
      <c r="B3768" t="str">
        <f>T("   Poires et coings, frais")</f>
        <v xml:space="preserve">   Poires et coings, frais</v>
      </c>
      <c r="C3768">
        <v>3389421</v>
      </c>
      <c r="D3768">
        <v>13601</v>
      </c>
    </row>
    <row r="3769" spans="1:4" x14ac:dyDescent="0.25">
      <c r="A3769" t="str">
        <f>T("   080910")</f>
        <v xml:space="preserve">   080910</v>
      </c>
      <c r="B3769" t="str">
        <f>T("   Abricots, frais")</f>
        <v xml:space="preserve">   Abricots, frais</v>
      </c>
      <c r="C3769">
        <v>49373</v>
      </c>
      <c r="D3769">
        <v>420</v>
      </c>
    </row>
    <row r="3770" spans="1:4" x14ac:dyDescent="0.25">
      <c r="A3770" t="str">
        <f>T("   080930")</f>
        <v xml:space="preserve">   080930</v>
      </c>
      <c r="B3770" t="str">
        <f>T("   Pêches, y.c. les brugnons et nectarines, fraîches")</f>
        <v xml:space="preserve">   Pêches, y.c. les brugnons et nectarines, fraîches</v>
      </c>
      <c r="C3770">
        <v>1380985</v>
      </c>
      <c r="D3770">
        <v>4884</v>
      </c>
    </row>
    <row r="3771" spans="1:4" x14ac:dyDescent="0.25">
      <c r="A3771" t="str">
        <f>T("   080940")</f>
        <v xml:space="preserve">   080940</v>
      </c>
      <c r="B3771" t="str">
        <f>T("   Prunes et prunelles, fraîches")</f>
        <v xml:space="preserve">   Prunes et prunelles, fraîches</v>
      </c>
      <c r="C3771">
        <v>1525108</v>
      </c>
      <c r="D3771">
        <v>853</v>
      </c>
    </row>
    <row r="3772" spans="1:4" x14ac:dyDescent="0.25">
      <c r="A3772" t="str">
        <f>T("   081050")</f>
        <v xml:space="preserve">   081050</v>
      </c>
      <c r="B3772" t="str">
        <f>T("   Kiwis, frais")</f>
        <v xml:space="preserve">   Kiwis, frais</v>
      </c>
      <c r="C3772">
        <v>1174825</v>
      </c>
      <c r="D3772">
        <v>450</v>
      </c>
    </row>
    <row r="3773" spans="1:4" x14ac:dyDescent="0.25">
      <c r="A3773" t="str">
        <f>T("   081090")</f>
        <v xml:space="preserve">   081090</v>
      </c>
      <c r="B3773" t="s">
        <v>23</v>
      </c>
      <c r="C3773">
        <v>964262</v>
      </c>
      <c r="D3773">
        <v>3808</v>
      </c>
    </row>
    <row r="3774" spans="1:4" x14ac:dyDescent="0.25">
      <c r="A3774" t="str">
        <f>T("   081340")</f>
        <v xml:space="preserve">   081340</v>
      </c>
      <c r="B3774" t="str">
        <f>T("   PÊCHES, POIRES, PAPAYES, TAMARINS ET AUTRES FRUITS COMESTIBLES, SÉCHÉS (SAUF FRUITS À COQUE, BANANES, DATTES, FIGUES, ANANAS, AVOCATS, GOYAVES, MANGUES, MAGOUSTANS, AGRUMES, RAISINS, ABRICOTS, PRUNES ET POMMES, NON-MÉLANGÉS)")</f>
        <v xml:space="preserve">   PÊCHES, POIRES, PAPAYES, TAMARINS ET AUTRES FRUITS COMESTIBLES, SÉCHÉS (SAUF FRUITS À COQUE, BANANES, DATTES, FIGUES, ANANAS, AVOCATS, GOYAVES, MANGUES, MAGOUSTANS, AGRUMES, RAISINS, ABRICOTS, PRUNES ET POMMES, NON-MÉLANGÉS)</v>
      </c>
      <c r="C3774">
        <v>167926</v>
      </c>
      <c r="D3774">
        <v>645</v>
      </c>
    </row>
    <row r="3775" spans="1:4" x14ac:dyDescent="0.25">
      <c r="A3775" t="str">
        <f>T("   090111")</f>
        <v xml:space="preserve">   090111</v>
      </c>
      <c r="B3775" t="str">
        <f>T("   Café, non torréfié, non décaféiné")</f>
        <v xml:space="preserve">   Café, non torréfié, non décaféiné</v>
      </c>
      <c r="C3775">
        <v>291902</v>
      </c>
      <c r="D3775">
        <v>930</v>
      </c>
    </row>
    <row r="3776" spans="1:4" x14ac:dyDescent="0.25">
      <c r="A3776" t="str">
        <f>T("   090121")</f>
        <v xml:space="preserve">   090121</v>
      </c>
      <c r="B3776" t="str">
        <f>T("   Café, torréfié, non décaféiné")</f>
        <v xml:space="preserve">   Café, torréfié, non décaféiné</v>
      </c>
      <c r="C3776">
        <v>26032816</v>
      </c>
      <c r="D3776">
        <v>28876</v>
      </c>
    </row>
    <row r="3777" spans="1:4" x14ac:dyDescent="0.25">
      <c r="A3777" t="str">
        <f>T("   090122")</f>
        <v xml:space="preserve">   090122</v>
      </c>
      <c r="B3777" t="str">
        <f>T("   Café, torréfié, décaféiné")</f>
        <v xml:space="preserve">   Café, torréfié, décaféiné</v>
      </c>
      <c r="C3777">
        <v>1452951</v>
      </c>
      <c r="D3777">
        <v>1638</v>
      </c>
    </row>
    <row r="3778" spans="1:4" x14ac:dyDescent="0.25">
      <c r="A3778" t="str">
        <f>T("   090190")</f>
        <v xml:space="preserve">   090190</v>
      </c>
      <c r="B3778" t="str">
        <f>T("   Coques et pellicules de café; succédanés du café contenant du café, quelles que soient les proportions du mélange")</f>
        <v xml:space="preserve">   Coques et pellicules de café; succédanés du café contenant du café, quelles que soient les proportions du mélange</v>
      </c>
      <c r="C3778">
        <v>535264</v>
      </c>
      <c r="D3778">
        <v>1002</v>
      </c>
    </row>
    <row r="3779" spans="1:4" x14ac:dyDescent="0.25">
      <c r="A3779" t="str">
        <f>T("   090210")</f>
        <v xml:space="preserve">   090210</v>
      </c>
      <c r="B3779" t="str">
        <f>T("   Thé vert [thé non fermenté], présenté en emballages immédiats d'un contenu &lt;= 3 kg")</f>
        <v xml:space="preserve">   Thé vert [thé non fermenté], présenté en emballages immédiats d'un contenu &lt;= 3 kg</v>
      </c>
      <c r="C3779">
        <v>5595424</v>
      </c>
      <c r="D3779">
        <v>11545</v>
      </c>
    </row>
    <row r="3780" spans="1:4" x14ac:dyDescent="0.25">
      <c r="A3780" t="str">
        <f>T("   090220")</f>
        <v xml:space="preserve">   090220</v>
      </c>
      <c r="B3780" t="str">
        <f>T("   Thé vert [thé non fermenté], présenté en emballages immédiats d'un contenu &gt; 3 kg")</f>
        <v xml:space="preserve">   Thé vert [thé non fermenté], présenté en emballages immédiats d'un contenu &gt; 3 kg</v>
      </c>
      <c r="C3780">
        <v>1136779</v>
      </c>
      <c r="D3780">
        <v>2635</v>
      </c>
    </row>
    <row r="3781" spans="1:4" x14ac:dyDescent="0.25">
      <c r="A3781" t="str">
        <f>T("   090230")</f>
        <v xml:space="preserve">   090230</v>
      </c>
      <c r="B3781" t="s">
        <v>24</v>
      </c>
      <c r="C3781">
        <v>4283210</v>
      </c>
      <c r="D3781">
        <v>1587</v>
      </c>
    </row>
    <row r="3782" spans="1:4" x14ac:dyDescent="0.25">
      <c r="A3782" t="str">
        <f>T("   090240")</f>
        <v xml:space="preserve">   090240</v>
      </c>
      <c r="B3782" t="s">
        <v>25</v>
      </c>
      <c r="C3782">
        <v>422438</v>
      </c>
      <c r="D3782">
        <v>717</v>
      </c>
    </row>
    <row r="3783" spans="1:4" x14ac:dyDescent="0.25">
      <c r="A3783" t="str">
        <f>T("   090411")</f>
        <v xml:space="preserve">   090411</v>
      </c>
      <c r="B3783" t="str">
        <f>T("   Poivre du genre 'Piper', non broyé ni pulvérisé")</f>
        <v xml:space="preserve">   Poivre du genre 'Piper', non broyé ni pulvérisé</v>
      </c>
      <c r="C3783">
        <v>1199751</v>
      </c>
      <c r="D3783">
        <v>831</v>
      </c>
    </row>
    <row r="3784" spans="1:4" x14ac:dyDescent="0.25">
      <c r="A3784" t="str">
        <f>T("   090500")</f>
        <v xml:space="preserve">   090500</v>
      </c>
      <c r="B3784" t="str">
        <f>T("   Vanille")</f>
        <v xml:space="preserve">   Vanille</v>
      </c>
      <c r="C3784">
        <v>599548</v>
      </c>
      <c r="D3784">
        <v>1080</v>
      </c>
    </row>
    <row r="3785" spans="1:4" x14ac:dyDescent="0.25">
      <c r="A3785" t="str">
        <f>T("   090910")</f>
        <v xml:space="preserve">   090910</v>
      </c>
      <c r="B3785" t="str">
        <f>T("   Graines d'anis ou de badiane")</f>
        <v xml:space="preserve">   Graines d'anis ou de badiane</v>
      </c>
      <c r="C3785">
        <v>1421466</v>
      </c>
      <c r="D3785">
        <v>165</v>
      </c>
    </row>
    <row r="3786" spans="1:4" x14ac:dyDescent="0.25">
      <c r="A3786" t="str">
        <f>T("   090930")</f>
        <v xml:space="preserve">   090930</v>
      </c>
      <c r="B3786" t="str">
        <f>T("   Graines de cumin")</f>
        <v xml:space="preserve">   Graines de cumin</v>
      </c>
      <c r="C3786">
        <v>249921</v>
      </c>
      <c r="D3786">
        <v>1500</v>
      </c>
    </row>
    <row r="3787" spans="1:4" x14ac:dyDescent="0.25">
      <c r="A3787" t="str">
        <f>T("   091020")</f>
        <v xml:space="preserve">   091020</v>
      </c>
      <c r="B3787" t="str">
        <f>T("   Safran")</f>
        <v xml:space="preserve">   Safran</v>
      </c>
      <c r="C3787">
        <v>1197127</v>
      </c>
      <c r="D3787">
        <v>1850</v>
      </c>
    </row>
    <row r="3788" spans="1:4" x14ac:dyDescent="0.25">
      <c r="A3788" t="str">
        <f>T("   091099")</f>
        <v xml:space="preserve">   091099</v>
      </c>
      <c r="B3788" t="s">
        <v>26</v>
      </c>
      <c r="C3788">
        <v>21955650</v>
      </c>
      <c r="D3788">
        <v>36594</v>
      </c>
    </row>
    <row r="3789" spans="1:4" x14ac:dyDescent="0.25">
      <c r="A3789" t="str">
        <f>T("   100190")</f>
        <v xml:space="preserve">   100190</v>
      </c>
      <c r="B3789" t="str">
        <f>T("   Froment [blé] et méteil (à l'excl. du froment [blé] dur)")</f>
        <v xml:space="preserve">   Froment [blé] et méteil (à l'excl. du froment [blé] dur)</v>
      </c>
      <c r="C3789">
        <v>4569616496</v>
      </c>
      <c r="D3789">
        <v>23650780</v>
      </c>
    </row>
    <row r="3790" spans="1:4" x14ac:dyDescent="0.25">
      <c r="A3790" t="str">
        <f>T("   100510")</f>
        <v xml:space="preserve">   100510</v>
      </c>
      <c r="B3790" t="str">
        <f>T("   Maïs de semence")</f>
        <v xml:space="preserve">   Maïs de semence</v>
      </c>
      <c r="C3790">
        <v>1362429</v>
      </c>
      <c r="D3790">
        <v>450</v>
      </c>
    </row>
    <row r="3791" spans="1:4" x14ac:dyDescent="0.25">
      <c r="A3791" t="str">
        <f>T("   100590")</f>
        <v xml:space="preserve">   100590</v>
      </c>
      <c r="B3791" t="str">
        <f>T("   Maïs (autre que de semence)")</f>
        <v xml:space="preserve">   Maïs (autre que de semence)</v>
      </c>
      <c r="C3791">
        <v>39082</v>
      </c>
      <c r="D3791">
        <v>65</v>
      </c>
    </row>
    <row r="3792" spans="1:4" x14ac:dyDescent="0.25">
      <c r="A3792" t="str">
        <f>T("   100630")</f>
        <v xml:space="preserve">   100630</v>
      </c>
      <c r="B3792" t="str">
        <f>T("   Riz semi-blanchi ou blanchi, même poli ou glacé")</f>
        <v xml:space="preserve">   Riz semi-blanchi ou blanchi, même poli ou glacé</v>
      </c>
      <c r="C3792">
        <v>278699566.639</v>
      </c>
      <c r="D3792">
        <v>1001675</v>
      </c>
    </row>
    <row r="3793" spans="1:4" x14ac:dyDescent="0.25">
      <c r="A3793" t="str">
        <f>T("   100890")</f>
        <v xml:space="preserve">   100890</v>
      </c>
      <c r="B3793" t="str">
        <f>T("   Céréales (à l'excl. du froment [blé], du méteil, du seigle, de l'orge, de l'avoine, du maïs, du riz, du sorgho à grains, du sarrasin, du millet et de l'alpiste)")</f>
        <v xml:space="preserve">   Céréales (à l'excl. du froment [blé], du méteil, du seigle, de l'orge, de l'avoine, du maïs, du riz, du sorgho à grains, du sarrasin, du millet et de l'alpiste)</v>
      </c>
      <c r="C3793">
        <v>1357838</v>
      </c>
      <c r="D3793">
        <v>1864</v>
      </c>
    </row>
    <row r="3794" spans="1:4" x14ac:dyDescent="0.25">
      <c r="A3794" t="str">
        <f>T("   110100")</f>
        <v xml:space="preserve">   110100</v>
      </c>
      <c r="B3794" t="str">
        <f>T("   Farines de froment [blé] ou de méteil")</f>
        <v xml:space="preserve">   Farines de froment [blé] ou de méteil</v>
      </c>
      <c r="C3794">
        <v>7162931970.2939997</v>
      </c>
      <c r="D3794">
        <v>26393530</v>
      </c>
    </row>
    <row r="3795" spans="1:4" x14ac:dyDescent="0.25">
      <c r="A3795" t="str">
        <f>T("   110290")</f>
        <v xml:space="preserve">   110290</v>
      </c>
      <c r="B3795" t="str">
        <f>T("   FARINES DE CÉRÉALES (À L'EXCL. DES FARINES DE FROMENT [BLÉ], DE MÉTEIL, DE SEIGLE ET DE MAÏS)")</f>
        <v xml:space="preserve">   FARINES DE CÉRÉALES (À L'EXCL. DES FARINES DE FROMENT [BLÉ], DE MÉTEIL, DE SEIGLE ET DE MAÏS)</v>
      </c>
      <c r="C3795">
        <v>277471</v>
      </c>
      <c r="D3795">
        <v>316</v>
      </c>
    </row>
    <row r="3796" spans="1:4" x14ac:dyDescent="0.25">
      <c r="A3796" t="str">
        <f>T("   110311")</f>
        <v xml:space="preserve">   110311</v>
      </c>
      <c r="B3796" t="str">
        <f>T("   Gruaux et semoules de froment [blé]")</f>
        <v xml:space="preserve">   Gruaux et semoules de froment [blé]</v>
      </c>
      <c r="C3796">
        <v>835078658</v>
      </c>
      <c r="D3796">
        <v>2405266</v>
      </c>
    </row>
    <row r="3797" spans="1:4" x14ac:dyDescent="0.25">
      <c r="A3797" t="str">
        <f>T("   110412")</f>
        <v xml:space="preserve">   110412</v>
      </c>
      <c r="B3797" t="str">
        <f>T("   Grains d'avoine, aplatis ou en flocons")</f>
        <v xml:space="preserve">   Grains d'avoine, aplatis ou en flocons</v>
      </c>
      <c r="C3797">
        <v>6877084</v>
      </c>
      <c r="D3797">
        <v>13814</v>
      </c>
    </row>
    <row r="3798" spans="1:4" x14ac:dyDescent="0.25">
      <c r="A3798" t="str">
        <f>T("   110429")</f>
        <v xml:space="preserve">   110429</v>
      </c>
      <c r="B3798" t="str">
        <f>T("   Grains de céréales, mondés, perlés, tranchés, concassés ou autrement travaillés (à l'excl. des grains d'avoine et de maïs, des farines de grains de céréales ainsi que du riz décortiqué, du riz semi-blanchi ou blanchi et du riz en brisures)")</f>
        <v xml:space="preserve">   Grains de céréales, mondés, perlés, tranchés, concassés ou autrement travaillés (à l'excl. des grains d'avoine et de maïs, des farines de grains de céréales ainsi que du riz décortiqué, du riz semi-blanchi ou blanchi et du riz en brisures)</v>
      </c>
      <c r="C3798">
        <v>279439</v>
      </c>
      <c r="D3798">
        <v>2400</v>
      </c>
    </row>
    <row r="3799" spans="1:4" x14ac:dyDescent="0.25">
      <c r="A3799" t="str">
        <f>T("   110510")</f>
        <v xml:space="preserve">   110510</v>
      </c>
      <c r="B3799" t="str">
        <f>T("   Farine, semoule et poudre de pommes de terre")</f>
        <v xml:space="preserve">   Farine, semoule et poudre de pommes de terre</v>
      </c>
      <c r="C3799">
        <v>150215</v>
      </c>
      <c r="D3799">
        <v>250</v>
      </c>
    </row>
    <row r="3800" spans="1:4" x14ac:dyDescent="0.25">
      <c r="A3800" t="str">
        <f>T("   110520")</f>
        <v xml:space="preserve">   110520</v>
      </c>
      <c r="B3800" t="str">
        <f>T("   Flocons, granulés et agglomérés sous forme de pellets, de pommes de terre")</f>
        <v xml:space="preserve">   Flocons, granulés et agglomérés sous forme de pellets, de pommes de terre</v>
      </c>
      <c r="C3800">
        <v>1347342</v>
      </c>
      <c r="D3800">
        <v>4464</v>
      </c>
    </row>
    <row r="3801" spans="1:4" x14ac:dyDescent="0.25">
      <c r="A3801" t="str">
        <f>T("   110630")</f>
        <v xml:space="preserve">   110630</v>
      </c>
      <c r="B3801" t="s">
        <v>27</v>
      </c>
      <c r="C3801">
        <v>2175458</v>
      </c>
      <c r="D3801">
        <v>1541</v>
      </c>
    </row>
    <row r="3802" spans="1:4" x14ac:dyDescent="0.25">
      <c r="A3802" t="str">
        <f>T("   110710")</f>
        <v xml:space="preserve">   110710</v>
      </c>
      <c r="B3802" t="str">
        <f>T("   MALT, NON-TORRÉFIÉ")</f>
        <v xml:space="preserve">   MALT, NON-TORRÉFIÉ</v>
      </c>
      <c r="C3802">
        <v>1943410480</v>
      </c>
      <c r="D3802">
        <v>4534278</v>
      </c>
    </row>
    <row r="3803" spans="1:4" x14ac:dyDescent="0.25">
      <c r="A3803" t="str">
        <f>T("   110720")</f>
        <v xml:space="preserve">   110720</v>
      </c>
      <c r="B3803" t="str">
        <f>T("   Malt, torréfié")</f>
        <v xml:space="preserve">   Malt, torréfié</v>
      </c>
      <c r="C3803">
        <v>15431458</v>
      </c>
      <c r="D3803">
        <v>17056</v>
      </c>
    </row>
    <row r="3804" spans="1:4" x14ac:dyDescent="0.25">
      <c r="A3804" t="str">
        <f>T("   110900")</f>
        <v xml:space="preserve">   110900</v>
      </c>
      <c r="B3804" t="str">
        <f>T("   Gluten de froment [blé], même à l'état sec")</f>
        <v xml:space="preserve">   Gluten de froment [blé], même à l'état sec</v>
      </c>
      <c r="C3804">
        <v>30825036</v>
      </c>
      <c r="D3804">
        <v>38720</v>
      </c>
    </row>
    <row r="3805" spans="1:4" x14ac:dyDescent="0.25">
      <c r="A3805" t="str">
        <f>T("   120799")</f>
        <v xml:space="preserve">   120799</v>
      </c>
      <c r="B3805" t="s">
        <v>28</v>
      </c>
      <c r="C3805">
        <v>1654987</v>
      </c>
      <c r="D3805">
        <v>150</v>
      </c>
    </row>
    <row r="3806" spans="1:4" x14ac:dyDescent="0.25">
      <c r="A3806" t="str">
        <f>T("   120991")</f>
        <v xml:space="preserve">   120991</v>
      </c>
      <c r="B3806" t="str">
        <f>T("   Graines de légumes, à ensemencer")</f>
        <v xml:space="preserve">   Graines de légumes, à ensemencer</v>
      </c>
      <c r="C3806">
        <v>262046836</v>
      </c>
      <c r="D3806">
        <v>11852</v>
      </c>
    </row>
    <row r="3807" spans="1:4" x14ac:dyDescent="0.25">
      <c r="A3807" t="str">
        <f>T("   120999")</f>
        <v xml:space="preserve">   120999</v>
      </c>
      <c r="B3807" t="s">
        <v>30</v>
      </c>
      <c r="C3807">
        <v>4788508</v>
      </c>
      <c r="D3807">
        <v>1201</v>
      </c>
    </row>
    <row r="3808" spans="1:4" x14ac:dyDescent="0.25">
      <c r="A3808" t="str">
        <f>T("   121010")</f>
        <v xml:space="preserve">   121010</v>
      </c>
      <c r="B3808" t="str">
        <f>T("   CONES DE HOUBLON, FRAIS OU SECS (SAUF BROYÉS, MOULUS OU SOUS FORME DE PELLETS)")</f>
        <v xml:space="preserve">   CONES DE HOUBLON, FRAIS OU SECS (SAUF BROYÉS, MOULUS OU SOUS FORME DE PELLETS)</v>
      </c>
      <c r="C3808">
        <v>188916</v>
      </c>
      <c r="D3808">
        <v>31</v>
      </c>
    </row>
    <row r="3809" spans="1:4" x14ac:dyDescent="0.25">
      <c r="A3809" t="str">
        <f>T("   121190")</f>
        <v xml:space="preserve">   121190</v>
      </c>
      <c r="B3809" t="s">
        <v>31</v>
      </c>
      <c r="C3809">
        <v>20414835</v>
      </c>
      <c r="D3809">
        <v>3740</v>
      </c>
    </row>
    <row r="3810" spans="1:4" x14ac:dyDescent="0.25">
      <c r="A3810" t="str">
        <f>T("   121299")</f>
        <v xml:space="preserve">   121299</v>
      </c>
      <c r="B3810" t="str">
        <f>T("   NOYAUX ET AMANDES DE FRUITS ET AUTRES PRODUITS VÉGÉTAUX - Y.C. LES RACINES DE CHICORÉE NON-TORRÉFIÉES DE LA VARIÉTÉ 'CICHORIUM INTYBUS SATIVUM' -, SERVANT PRINCIPALEMENT À L'ALIMENTATION HUMAINE, N.D.A.")</f>
        <v xml:space="preserve">   NOYAUX ET AMANDES DE FRUITS ET AUTRES PRODUITS VÉGÉTAUX - Y.C. LES RACINES DE CHICORÉE NON-TORRÉFIÉES DE LA VARIÉTÉ 'CICHORIUM INTYBUS SATIVUM' -, SERVANT PRINCIPALEMENT À L'ALIMENTATION HUMAINE, N.D.A.</v>
      </c>
      <c r="C3810">
        <v>572653</v>
      </c>
      <c r="D3810">
        <v>102</v>
      </c>
    </row>
    <row r="3811" spans="1:4" x14ac:dyDescent="0.25">
      <c r="A3811" t="str">
        <f>T("   121490")</f>
        <v xml:space="preserve">   121490</v>
      </c>
      <c r="B3811" t="s">
        <v>32</v>
      </c>
      <c r="C3811">
        <v>211127</v>
      </c>
      <c r="D3811">
        <v>4000</v>
      </c>
    </row>
    <row r="3812" spans="1:4" x14ac:dyDescent="0.25">
      <c r="A3812" t="str">
        <f>T("   130120")</f>
        <v xml:space="preserve">   130120</v>
      </c>
      <c r="B3812" t="str">
        <f>T("   Gomme arabique")</f>
        <v xml:space="preserve">   Gomme arabique</v>
      </c>
      <c r="C3812">
        <v>505942</v>
      </c>
      <c r="D3812">
        <v>564</v>
      </c>
    </row>
    <row r="3813" spans="1:4" x14ac:dyDescent="0.25">
      <c r="A3813" t="str">
        <f>T("   130213")</f>
        <v xml:space="preserve">   130213</v>
      </c>
      <c r="B3813" t="str">
        <f>T("   Extraits de houblon")</f>
        <v xml:space="preserve">   Extraits de houblon</v>
      </c>
      <c r="C3813">
        <v>519255965</v>
      </c>
      <c r="D3813">
        <v>29096</v>
      </c>
    </row>
    <row r="3814" spans="1:4" x14ac:dyDescent="0.25">
      <c r="A3814" t="str">
        <f>T("   140410")</f>
        <v xml:space="preserve">   140410</v>
      </c>
      <c r="B3814" t="str">
        <f>T("   Matières premières végétales des espèces principalement utilisées pour la teinture ou le tannage, n.d.a.")</f>
        <v xml:space="preserve">   Matières premières végétales des espèces principalement utilisées pour la teinture ou le tannage, n.d.a.</v>
      </c>
      <c r="C3814">
        <v>449988</v>
      </c>
      <c r="D3814">
        <v>142</v>
      </c>
    </row>
    <row r="3815" spans="1:4" x14ac:dyDescent="0.25">
      <c r="A3815" t="str">
        <f>T("   140490")</f>
        <v xml:space="preserve">   140490</v>
      </c>
      <c r="B3815" t="str">
        <f>T("   Produits végétaux, n.d.a.")</f>
        <v xml:space="preserve">   Produits végétaux, n.d.a.</v>
      </c>
      <c r="C3815">
        <v>2157453</v>
      </c>
      <c r="D3815">
        <v>2254</v>
      </c>
    </row>
    <row r="3816" spans="1:4" x14ac:dyDescent="0.25">
      <c r="A3816" t="str">
        <f>T("   150410")</f>
        <v xml:space="preserve">   150410</v>
      </c>
      <c r="B3816" t="str">
        <f>T("   Huiles de foies de poissons et leurs fractions, même raffinées, mais non chimiquement modifiées")</f>
        <v xml:space="preserve">   Huiles de foies de poissons et leurs fractions, même raffinées, mais non chimiquement modifiées</v>
      </c>
      <c r="C3816">
        <v>464425</v>
      </c>
      <c r="D3816">
        <v>42</v>
      </c>
    </row>
    <row r="3817" spans="1:4" x14ac:dyDescent="0.25">
      <c r="A3817" t="str">
        <f>T("   150790")</f>
        <v xml:space="preserve">   150790</v>
      </c>
      <c r="B3817" t="str">
        <f>T("   Huile de soja et ses fractions, même raffinées, mais non chimiquement modifiées (à l'excl. de l'huile de soja brute)")</f>
        <v xml:space="preserve">   Huile de soja et ses fractions, même raffinées, mais non chimiquement modifiées (à l'excl. de l'huile de soja brute)</v>
      </c>
      <c r="C3817">
        <v>644250</v>
      </c>
      <c r="D3817">
        <v>2577</v>
      </c>
    </row>
    <row r="3818" spans="1:4" x14ac:dyDescent="0.25">
      <c r="A3818" t="str">
        <f>T("   150890")</f>
        <v xml:space="preserve">   150890</v>
      </c>
      <c r="B3818" t="str">
        <f>T("   Huile d'arachide et ses fractions, même raffinées, mais non chimiquement modifiées (à l'excl. de l'huile d'arachide brute)")</f>
        <v xml:space="preserve">   Huile d'arachide et ses fractions, même raffinées, mais non chimiquement modifiées (à l'excl. de l'huile d'arachide brute)</v>
      </c>
      <c r="C3818">
        <v>60305.906000000003</v>
      </c>
      <c r="D3818">
        <v>156</v>
      </c>
    </row>
    <row r="3819" spans="1:4" x14ac:dyDescent="0.25">
      <c r="A3819" t="str">
        <f>T("   150910")</f>
        <v xml:space="preserve">   150910</v>
      </c>
      <c r="B3819" t="str">
        <f>T("   Huile d'olive vierge et ses fractions, obtenues, à partir des fruits de l'olivier, uniquement par des procédés mécaniques ou physiques, dans des conditions n'altérant pas l'huile")</f>
        <v xml:space="preserve">   Huile d'olive vierge et ses fractions, obtenues, à partir des fruits de l'olivier, uniquement par des procédés mécaniques ou physiques, dans des conditions n'altérant pas l'huile</v>
      </c>
      <c r="C3819">
        <v>18058172</v>
      </c>
      <c r="D3819">
        <v>14856</v>
      </c>
    </row>
    <row r="3820" spans="1:4" x14ac:dyDescent="0.25">
      <c r="A3820" t="str">
        <f>T("   150990")</f>
        <v xml:space="preserve">   150990</v>
      </c>
      <c r="B3820"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3820">
        <v>12421430</v>
      </c>
      <c r="D3820">
        <v>13244</v>
      </c>
    </row>
    <row r="3821" spans="1:4" x14ac:dyDescent="0.25">
      <c r="A3821" t="str">
        <f>T("   151000")</f>
        <v xml:space="preserve">   151000</v>
      </c>
      <c r="B3821" t="s">
        <v>33</v>
      </c>
      <c r="C3821">
        <v>600000</v>
      </c>
      <c r="D3821">
        <v>509</v>
      </c>
    </row>
    <row r="3822" spans="1:4" x14ac:dyDescent="0.25">
      <c r="A3822" t="str">
        <f>T("   151190")</f>
        <v xml:space="preserve">   151190</v>
      </c>
      <c r="B3822" t="str">
        <f>T("   Huile de palme et ses fractions, même raffinées, mais non chimiquement modifiées (à l'excl. de l'huile de palme brute)")</f>
        <v xml:space="preserve">   Huile de palme et ses fractions, même raffinées, mais non chimiquement modifiées (à l'excl. de l'huile de palme brute)</v>
      </c>
      <c r="C3822">
        <v>1072265592.775</v>
      </c>
      <c r="D3822">
        <v>2900887</v>
      </c>
    </row>
    <row r="3823" spans="1:4" x14ac:dyDescent="0.25">
      <c r="A3823" t="str">
        <f>T("   151219")</f>
        <v xml:space="preserve">   151219</v>
      </c>
      <c r="B3823"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3823">
        <v>552750</v>
      </c>
      <c r="D3823">
        <v>2092</v>
      </c>
    </row>
    <row r="3824" spans="1:4" x14ac:dyDescent="0.25">
      <c r="A3824" t="str">
        <f>T("   151419")</f>
        <v xml:space="preserve">   151419</v>
      </c>
      <c r="B3824" t="s">
        <v>34</v>
      </c>
      <c r="C3824">
        <v>52000</v>
      </c>
      <c r="D3824">
        <v>208</v>
      </c>
    </row>
    <row r="3825" spans="1:4" x14ac:dyDescent="0.25">
      <c r="A3825" t="str">
        <f>T("   151499")</f>
        <v xml:space="preserve">   151499</v>
      </c>
      <c r="B3825" t="s">
        <v>35</v>
      </c>
      <c r="C3825">
        <v>65000</v>
      </c>
      <c r="D3825">
        <v>260</v>
      </c>
    </row>
    <row r="3826" spans="1:4" x14ac:dyDescent="0.25">
      <c r="A3826" t="str">
        <f>T("   151519")</f>
        <v xml:space="preserve">   151519</v>
      </c>
      <c r="B3826" t="str">
        <f>T("   Huile de lin et ses fractions, même raffinées, mais non chimiquement modifiées (à l'excl. de l'huile brute)")</f>
        <v xml:space="preserve">   Huile de lin et ses fractions, même raffinées, mais non chimiquement modifiées (à l'excl. de l'huile brute)</v>
      </c>
      <c r="C3826">
        <v>3875840</v>
      </c>
      <c r="D3826">
        <v>3080</v>
      </c>
    </row>
    <row r="3827" spans="1:4" x14ac:dyDescent="0.25">
      <c r="A3827" t="str">
        <f>T("   151529")</f>
        <v xml:space="preserve">   151529</v>
      </c>
      <c r="B3827" t="str">
        <f>T("   Huile de maïs et ses fractions, même raffinées, mais non chimiquement modifiées (à l'excl. de l'huile brute)")</f>
        <v xml:space="preserve">   Huile de maïs et ses fractions, même raffinées, mais non chimiquement modifiées (à l'excl. de l'huile brute)</v>
      </c>
      <c r="C3827">
        <v>375507</v>
      </c>
      <c r="D3827">
        <v>587</v>
      </c>
    </row>
    <row r="3828" spans="1:4" x14ac:dyDescent="0.25">
      <c r="A3828" t="str">
        <f>T("   151530")</f>
        <v xml:space="preserve">   151530</v>
      </c>
      <c r="B3828" t="str">
        <f>T("   Huile de ricin et ses fractions, même raffinées, mais non chimiquement modifiées")</f>
        <v xml:space="preserve">   Huile de ricin et ses fractions, même raffinées, mais non chimiquement modifiées</v>
      </c>
      <c r="C3828">
        <v>408665</v>
      </c>
      <c r="D3828">
        <v>435.7</v>
      </c>
    </row>
    <row r="3829" spans="1:4" x14ac:dyDescent="0.25">
      <c r="A3829" t="str">
        <f>T("   151590")</f>
        <v xml:space="preserve">   151590</v>
      </c>
      <c r="B3829" t="s">
        <v>36</v>
      </c>
      <c r="C3829">
        <v>17070833</v>
      </c>
      <c r="D3829">
        <v>39288</v>
      </c>
    </row>
    <row r="3830" spans="1:4" x14ac:dyDescent="0.25">
      <c r="A3830" t="str">
        <f>T("   151620")</f>
        <v xml:space="preserve">   151620</v>
      </c>
      <c r="B3830"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3830">
        <v>59778292</v>
      </c>
      <c r="D3830">
        <v>213570</v>
      </c>
    </row>
    <row r="3831" spans="1:4" x14ac:dyDescent="0.25">
      <c r="A3831" t="str">
        <f>T("   151710")</f>
        <v xml:space="preserve">   151710</v>
      </c>
      <c r="B3831" t="str">
        <f>T("   Margarine (à l'excl. de la margarine liquide)")</f>
        <v xml:space="preserve">   Margarine (à l'excl. de la margarine liquide)</v>
      </c>
      <c r="C3831">
        <v>120507370</v>
      </c>
      <c r="D3831">
        <v>243686</v>
      </c>
    </row>
    <row r="3832" spans="1:4" x14ac:dyDescent="0.25">
      <c r="A3832" t="str">
        <f>T("   151790")</f>
        <v xml:space="preserve">   151790</v>
      </c>
      <c r="B3832" t="s">
        <v>37</v>
      </c>
      <c r="C3832">
        <v>384392</v>
      </c>
      <c r="D3832">
        <v>824</v>
      </c>
    </row>
    <row r="3833" spans="1:4" x14ac:dyDescent="0.25">
      <c r="A3833" t="str">
        <f>T("   151800")</f>
        <v xml:space="preserve">   151800</v>
      </c>
      <c r="B3833" t="s">
        <v>38</v>
      </c>
      <c r="C3833">
        <v>1364397</v>
      </c>
      <c r="D3833">
        <v>667</v>
      </c>
    </row>
    <row r="3834" spans="1:4" x14ac:dyDescent="0.25">
      <c r="A3834" t="str">
        <f>T("   160100")</f>
        <v xml:space="preserve">   160100</v>
      </c>
      <c r="B3834" t="str">
        <f>T("   Saucisses, saucissons et produits simil., de viande, d'abats ou de sang; préparations alimentaires à base de ces produits")</f>
        <v xml:space="preserve">   Saucisses, saucissons et produits simil., de viande, d'abats ou de sang; préparations alimentaires à base de ces produits</v>
      </c>
      <c r="C3834">
        <v>609659577</v>
      </c>
      <c r="D3834">
        <v>824984</v>
      </c>
    </row>
    <row r="3835" spans="1:4" x14ac:dyDescent="0.25">
      <c r="A3835" t="str">
        <f>T("   160210")</f>
        <v xml:space="preserve">   160210</v>
      </c>
      <c r="B3835" t="str">
        <f>T("   Préparations finement homogénéisées, de viande, d'abats ou de sang, conditionnées pour la vente au détail comme aliments pour enfants ou pour usages diététiques, en récipients d'un contenu &lt;= 250 g")</f>
        <v xml:space="preserve">   Préparations finement homogénéisées, de viande, d'abats ou de sang, conditionnées pour la vente au détail comme aliments pour enfants ou pour usages diététiques, en récipients d'un contenu &lt;= 250 g</v>
      </c>
      <c r="C3835">
        <v>1938362</v>
      </c>
      <c r="D3835">
        <v>1666</v>
      </c>
    </row>
    <row r="3836" spans="1:4" x14ac:dyDescent="0.25">
      <c r="A3836" t="str">
        <f>T("   160231")</f>
        <v xml:space="preserve">   160231</v>
      </c>
      <c r="B3836" t="s">
        <v>39</v>
      </c>
      <c r="C3836">
        <v>362090</v>
      </c>
      <c r="D3836">
        <v>600</v>
      </c>
    </row>
    <row r="3837" spans="1:4" x14ac:dyDescent="0.25">
      <c r="A3837" t="str">
        <f>T("   160232")</f>
        <v xml:space="preserve">   160232</v>
      </c>
      <c r="B3837" t="s">
        <v>40</v>
      </c>
      <c r="C3837">
        <v>33360001</v>
      </c>
      <c r="D3837">
        <v>57376</v>
      </c>
    </row>
    <row r="3838" spans="1:4" x14ac:dyDescent="0.25">
      <c r="A3838" t="str">
        <f>T("   160239")</f>
        <v xml:space="preserve">   160239</v>
      </c>
      <c r="B3838" t="s">
        <v>41</v>
      </c>
      <c r="C3838">
        <v>37394970</v>
      </c>
      <c r="D3838">
        <v>13557</v>
      </c>
    </row>
    <row r="3839" spans="1:4" x14ac:dyDescent="0.25">
      <c r="A3839" t="str">
        <f>T("   160241")</f>
        <v xml:space="preserve">   160241</v>
      </c>
      <c r="B3839" t="str">
        <f>T("   Préparations et conserves de jambons et de morceaux de jambons des animaux de l'espèce porcine")</f>
        <v xml:space="preserve">   Préparations et conserves de jambons et de morceaux de jambons des animaux de l'espèce porcine</v>
      </c>
      <c r="C3839">
        <v>62268465</v>
      </c>
      <c r="D3839">
        <v>72181</v>
      </c>
    </row>
    <row r="3840" spans="1:4" x14ac:dyDescent="0.25">
      <c r="A3840" t="str">
        <f>T("   160242")</f>
        <v xml:space="preserve">   160242</v>
      </c>
      <c r="B3840" t="str">
        <f>T("   Préparations et conserves d'épaules et de morceaux d'épaules des animaux de l'espèce porcine")</f>
        <v xml:space="preserve">   Préparations et conserves d'épaules et de morceaux d'épaules des animaux de l'espèce porcine</v>
      </c>
      <c r="C3840">
        <v>9450416</v>
      </c>
      <c r="D3840">
        <v>15734</v>
      </c>
    </row>
    <row r="3841" spans="1:4" x14ac:dyDescent="0.25">
      <c r="A3841" t="str">
        <f>T("   160249")</f>
        <v xml:space="preserve">   160249</v>
      </c>
      <c r="B3841" t="s">
        <v>42</v>
      </c>
      <c r="C3841">
        <v>28763641</v>
      </c>
      <c r="D3841">
        <v>31059</v>
      </c>
    </row>
    <row r="3842" spans="1:4" x14ac:dyDescent="0.25">
      <c r="A3842" t="str">
        <f>T("   160250")</f>
        <v xml:space="preserve">   160250</v>
      </c>
      <c r="B3842" t="s">
        <v>43</v>
      </c>
      <c r="C3842">
        <v>15109384</v>
      </c>
      <c r="D3842">
        <v>22612</v>
      </c>
    </row>
    <row r="3843" spans="1:4" x14ac:dyDescent="0.25">
      <c r="A3843" t="str">
        <f>T("   160290")</f>
        <v xml:space="preserve">   160290</v>
      </c>
      <c r="B3843" t="s">
        <v>44</v>
      </c>
      <c r="C3843">
        <v>2977349</v>
      </c>
      <c r="D3843">
        <v>1696</v>
      </c>
    </row>
    <row r="3844" spans="1:4" x14ac:dyDescent="0.25">
      <c r="A3844" t="str">
        <f>T("   160413")</f>
        <v xml:space="preserve">   160413</v>
      </c>
      <c r="B3844"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3844">
        <v>5355257</v>
      </c>
      <c r="D3844">
        <v>5971</v>
      </c>
    </row>
    <row r="3845" spans="1:4" x14ac:dyDescent="0.25">
      <c r="A3845" t="str">
        <f>T("   160414")</f>
        <v xml:space="preserve">   160414</v>
      </c>
      <c r="B3845"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3845">
        <v>2685624</v>
      </c>
      <c r="D3845">
        <v>4619</v>
      </c>
    </row>
    <row r="3846" spans="1:4" x14ac:dyDescent="0.25">
      <c r="A3846" t="str">
        <f>T("   160416")</f>
        <v xml:space="preserve">   160416</v>
      </c>
      <c r="B3846" t="str">
        <f>T("   Préparations et conserves d'anchois entiers ou en morceaux (à l'excl. des préparations et conserves d'anchois hachés)")</f>
        <v xml:space="preserve">   Préparations et conserves d'anchois entiers ou en morceaux (à l'excl. des préparations et conserves d'anchois hachés)</v>
      </c>
      <c r="C3846">
        <v>3176800</v>
      </c>
      <c r="D3846">
        <v>2074</v>
      </c>
    </row>
    <row r="3847" spans="1:4" x14ac:dyDescent="0.25">
      <c r="A3847" t="str">
        <f>T("   160419")</f>
        <v xml:space="preserve">   160419</v>
      </c>
      <c r="B3847" t="s">
        <v>45</v>
      </c>
      <c r="C3847">
        <v>268944</v>
      </c>
      <c r="D3847">
        <v>201</v>
      </c>
    </row>
    <row r="3848" spans="1:4" x14ac:dyDescent="0.25">
      <c r="A3848" t="str">
        <f>T("   160420")</f>
        <v xml:space="preserve">   160420</v>
      </c>
      <c r="B3848" t="str">
        <f>T("   Préparations et conserves de poissons (à l'excl. des préparations et conserves de poissons entiers ou en morceaux)")</f>
        <v xml:space="preserve">   Préparations et conserves de poissons (à l'excl. des préparations et conserves de poissons entiers ou en morceaux)</v>
      </c>
      <c r="C3848">
        <v>20768647</v>
      </c>
      <c r="D3848">
        <v>16850</v>
      </c>
    </row>
    <row r="3849" spans="1:4" x14ac:dyDescent="0.25">
      <c r="A3849" t="str">
        <f>T("   160510")</f>
        <v xml:space="preserve">   160510</v>
      </c>
      <c r="B3849" t="str">
        <f>T("   Crabes, préparés ou conservés")</f>
        <v xml:space="preserve">   Crabes, préparés ou conservés</v>
      </c>
      <c r="C3849">
        <v>1087582</v>
      </c>
      <c r="D3849">
        <v>1156</v>
      </c>
    </row>
    <row r="3850" spans="1:4" x14ac:dyDescent="0.25">
      <c r="A3850" t="str">
        <f>T("   160520")</f>
        <v xml:space="preserve">   160520</v>
      </c>
      <c r="B3850" t="str">
        <f>T("   Crevettes, préparées ou conservées")</f>
        <v xml:space="preserve">   Crevettes, préparées ou conservées</v>
      </c>
      <c r="C3850">
        <v>136440</v>
      </c>
      <c r="D3850">
        <v>79</v>
      </c>
    </row>
    <row r="3851" spans="1:4" x14ac:dyDescent="0.25">
      <c r="A3851" t="str">
        <f>T("   160590")</f>
        <v xml:space="preserve">   160590</v>
      </c>
      <c r="B3851" t="str">
        <f>T("   Mollusques et autres invertébrés aquatiques, préparés ou conservés")</f>
        <v xml:space="preserve">   Mollusques et autres invertébrés aquatiques, préparés ou conservés</v>
      </c>
      <c r="C3851">
        <v>1460823</v>
      </c>
      <c r="D3851">
        <v>674</v>
      </c>
    </row>
    <row r="3852" spans="1:4" x14ac:dyDescent="0.25">
      <c r="A3852" t="str">
        <f>T("   170191")</f>
        <v xml:space="preserve">   170191</v>
      </c>
      <c r="B3852" t="str">
        <f>T("   Sucres de canne ou de betterave, à l'état solide, additionnés d'aromatisants ou de colorants")</f>
        <v xml:space="preserve">   Sucres de canne ou de betterave, à l'état solide, additionnés d'aromatisants ou de colorants</v>
      </c>
      <c r="C3852">
        <v>84569756.547000006</v>
      </c>
      <c r="D3852">
        <v>646688</v>
      </c>
    </row>
    <row r="3853" spans="1:4" x14ac:dyDescent="0.25">
      <c r="A3853" t="str">
        <f>T("   170199")</f>
        <v xml:space="preserve">   170199</v>
      </c>
      <c r="B3853"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3853">
        <v>435087159.102</v>
      </c>
      <c r="D3853">
        <v>1870708.6</v>
      </c>
    </row>
    <row r="3854" spans="1:4" x14ac:dyDescent="0.25">
      <c r="A3854" t="str">
        <f>T("   170220")</f>
        <v xml:space="preserve">   170220</v>
      </c>
      <c r="B3854" t="str">
        <f>T("   Sucre d'érable, à l'état solide, et sirop d'érable, sans addition d'aromatisants ou de colorants")</f>
        <v xml:space="preserve">   Sucre d'érable, à l'état solide, et sirop d'érable, sans addition d'aromatisants ou de colorants</v>
      </c>
      <c r="C3854">
        <v>529360</v>
      </c>
      <c r="D3854">
        <v>94</v>
      </c>
    </row>
    <row r="3855" spans="1:4" x14ac:dyDescent="0.25">
      <c r="A3855" t="str">
        <f>T("   170240")</f>
        <v xml:space="preserve">   170240</v>
      </c>
      <c r="B3855" t="str">
        <f>T("   Glucose, à l'état solide, et sirop de glucose, sans addition d'aromatisants ou de colorants, contenant en poids à l'état sec &gt;= 20% mais &lt; 50% de fructose (à l'excl. du sucre inverti [ou interverti])")</f>
        <v xml:space="preserve">   Glucose, à l'état solide, et sirop de glucose, sans addition d'aromatisants ou de colorants, contenant en poids à l'état sec &gt;= 20% mais &lt; 50% de fructose (à l'excl. du sucre inverti [ou interverti])</v>
      </c>
      <c r="C3855">
        <v>130962</v>
      </c>
      <c r="D3855">
        <v>417</v>
      </c>
    </row>
    <row r="3856" spans="1:4" x14ac:dyDescent="0.25">
      <c r="A3856" t="str">
        <f>T("   170290")</f>
        <v xml:space="preserve">   170290</v>
      </c>
      <c r="B3856" t="s">
        <v>46</v>
      </c>
      <c r="C3856">
        <v>20479867</v>
      </c>
      <c r="D3856">
        <v>9555</v>
      </c>
    </row>
    <row r="3857" spans="1:4" x14ac:dyDescent="0.25">
      <c r="A3857" t="str">
        <f>T("   170410")</f>
        <v xml:space="preserve">   170410</v>
      </c>
      <c r="B3857" t="str">
        <f>T("   Gommes à mâcher [chewing-gum], même enrobées de sucre")</f>
        <v xml:space="preserve">   Gommes à mâcher [chewing-gum], même enrobées de sucre</v>
      </c>
      <c r="C3857">
        <v>1572337</v>
      </c>
      <c r="D3857">
        <v>3346</v>
      </c>
    </row>
    <row r="3858" spans="1:4" x14ac:dyDescent="0.25">
      <c r="A3858" t="str">
        <f>T("   170490")</f>
        <v xml:space="preserve">   170490</v>
      </c>
      <c r="B3858" t="str">
        <f>T("   Sucreries sans cacao, y.c. le chocolat blanc (à l'excl. des gommes à mâcher)")</f>
        <v xml:space="preserve">   Sucreries sans cacao, y.c. le chocolat blanc (à l'excl. des gommes à mâcher)</v>
      </c>
      <c r="C3858">
        <v>130168993</v>
      </c>
      <c r="D3858">
        <v>149687</v>
      </c>
    </row>
    <row r="3859" spans="1:4" x14ac:dyDescent="0.25">
      <c r="A3859" t="str">
        <f>T("   180610")</f>
        <v xml:space="preserve">   180610</v>
      </c>
      <c r="B3859" t="str">
        <f>T("   Poudre de cacao, additionnée de sucre ou d'autres édulcorants")</f>
        <v xml:space="preserve">   Poudre de cacao, additionnée de sucre ou d'autres édulcorants</v>
      </c>
      <c r="C3859">
        <v>20338544</v>
      </c>
      <c r="D3859">
        <v>15575</v>
      </c>
    </row>
    <row r="3860" spans="1:4" x14ac:dyDescent="0.25">
      <c r="A3860" t="str">
        <f>T("   180620")</f>
        <v xml:space="preserve">   180620</v>
      </c>
      <c r="B3860" t="s">
        <v>47</v>
      </c>
      <c r="C3860">
        <v>5334823</v>
      </c>
      <c r="D3860">
        <v>4253</v>
      </c>
    </row>
    <row r="3861" spans="1:4" x14ac:dyDescent="0.25">
      <c r="A3861" t="str">
        <f>T("   180631")</f>
        <v xml:space="preserve">   180631</v>
      </c>
      <c r="B3861"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3861">
        <v>95104384</v>
      </c>
      <c r="D3861">
        <v>83560</v>
      </c>
    </row>
    <row r="3862" spans="1:4" x14ac:dyDescent="0.25">
      <c r="A3862" t="str">
        <f>T("   180632")</f>
        <v xml:space="preserve">   180632</v>
      </c>
      <c r="B3862"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3862">
        <v>14188269</v>
      </c>
      <c r="D3862">
        <v>7836</v>
      </c>
    </row>
    <row r="3863" spans="1:4" x14ac:dyDescent="0.25">
      <c r="A3863" t="str">
        <f>T("   180690")</f>
        <v xml:space="preserve">   180690</v>
      </c>
      <c r="B3863"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3863">
        <v>49597223</v>
      </c>
      <c r="D3863">
        <v>55342.5</v>
      </c>
    </row>
    <row r="3864" spans="1:4" x14ac:dyDescent="0.25">
      <c r="A3864" t="str">
        <f>T("   190110")</f>
        <v xml:space="preserve">   190110</v>
      </c>
      <c r="B3864" t="s">
        <v>48</v>
      </c>
      <c r="C3864">
        <v>927130244</v>
      </c>
      <c r="D3864">
        <v>328878</v>
      </c>
    </row>
    <row r="3865" spans="1:4" x14ac:dyDescent="0.25">
      <c r="A3865" t="str">
        <f>T("   190190")</f>
        <v xml:space="preserve">   190190</v>
      </c>
      <c r="B3865" t="s">
        <v>50</v>
      </c>
      <c r="C3865">
        <v>5303438</v>
      </c>
      <c r="D3865">
        <v>1793</v>
      </c>
    </row>
    <row r="3866" spans="1:4" x14ac:dyDescent="0.25">
      <c r="A3866" t="str">
        <f>T("   190219")</f>
        <v xml:space="preserve">   190219</v>
      </c>
      <c r="B3866" t="str">
        <f>T("   PÂTES ALIMENTAIRES NON-CUITES NI FARCIES NI AUTREMENT PRÉPARÉES, NE CONTENANT PAS D'OEUFS")</f>
        <v xml:space="preserve">   PÂTES ALIMENTAIRES NON-CUITES NI FARCIES NI AUTREMENT PRÉPARÉES, NE CONTENANT PAS D'OEUFS</v>
      </c>
      <c r="C3866">
        <v>65095294</v>
      </c>
      <c r="D3866">
        <v>151018</v>
      </c>
    </row>
    <row r="3867" spans="1:4" x14ac:dyDescent="0.25">
      <c r="A3867" t="str">
        <f>T("   190230")</f>
        <v xml:space="preserve">   190230</v>
      </c>
      <c r="B3867" t="str">
        <f>T("   Pâtes alimentaires, cuites ou autrement préparées (à l'excl. des pâtes alimentaires farcies)")</f>
        <v xml:space="preserve">   Pâtes alimentaires, cuites ou autrement préparées (à l'excl. des pâtes alimentaires farcies)</v>
      </c>
      <c r="C3867">
        <v>42796295</v>
      </c>
      <c r="D3867">
        <v>112313</v>
      </c>
    </row>
    <row r="3868" spans="1:4" x14ac:dyDescent="0.25">
      <c r="A3868" t="str">
        <f>T("   190240")</f>
        <v xml:space="preserve">   190240</v>
      </c>
      <c r="B3868" t="str">
        <f>T("   Couscous, même préparé")</f>
        <v xml:space="preserve">   Couscous, même préparé</v>
      </c>
      <c r="C3868">
        <v>154307185</v>
      </c>
      <c r="D3868">
        <v>439925</v>
      </c>
    </row>
    <row r="3869" spans="1:4" x14ac:dyDescent="0.25">
      <c r="A3869" t="str">
        <f>T("   190410")</f>
        <v xml:space="preserve">   190410</v>
      </c>
      <c r="B3869" t="str">
        <f>T("   PRODUITS À BASE DE CÉRÉALES OBTENUS PAR SOUFFLAGE OU GRILLAGE [CORN FLAKES, P.EX.]")</f>
        <v xml:space="preserve">   PRODUITS À BASE DE CÉRÉALES OBTENUS PAR SOUFFLAGE OU GRILLAGE [CORN FLAKES, P.EX.]</v>
      </c>
      <c r="C3869">
        <v>18976748</v>
      </c>
      <c r="D3869">
        <v>17418</v>
      </c>
    </row>
    <row r="3870" spans="1:4" x14ac:dyDescent="0.25">
      <c r="A3870" t="str">
        <f>T("   190420")</f>
        <v xml:space="preserve">   190420</v>
      </c>
      <c r="B3870" t="str">
        <f>T("   PRÉPARATIONS ALIMENTAIRES OBTENUES À PARTIR DE FLOCONS DE CÉRÉALES NON-GRILLÉS OU DE MÉLANGES DE FLOCONS DE CÉRÉALES NON-GRILLÉS ET DE FLOCONS DE CÉRÉALES GRILLÉS OU DE CÉRÉALES SOUFFLÉS")</f>
        <v xml:space="preserve">   PRÉPARATIONS ALIMENTAIRES OBTENUES À PARTIR DE FLOCONS DE CÉRÉALES NON-GRILLÉS OU DE MÉLANGES DE FLOCONS DE CÉRÉALES NON-GRILLÉS ET DE FLOCONS DE CÉRÉALES GRILLÉS OU DE CÉRÉALES SOUFFLÉS</v>
      </c>
      <c r="C3870">
        <v>603483</v>
      </c>
      <c r="D3870">
        <v>3300</v>
      </c>
    </row>
    <row r="3871" spans="1:4" x14ac:dyDescent="0.25">
      <c r="A3871" t="str">
        <f>T("   190490")</f>
        <v xml:space="preserve">   190490</v>
      </c>
      <c r="B3871" t="s">
        <v>51</v>
      </c>
      <c r="C3871">
        <v>9681203</v>
      </c>
      <c r="D3871">
        <v>9718</v>
      </c>
    </row>
    <row r="3872" spans="1:4" x14ac:dyDescent="0.25">
      <c r="A3872" t="str">
        <f>T("   190520")</f>
        <v xml:space="preserve">   190520</v>
      </c>
      <c r="B3872" t="str">
        <f>T("   Pain d'épices, même additionné de cacao")</f>
        <v xml:space="preserve">   Pain d'épices, même additionné de cacao</v>
      </c>
      <c r="C3872">
        <v>896698</v>
      </c>
      <c r="D3872">
        <v>2854</v>
      </c>
    </row>
    <row r="3873" spans="1:4" x14ac:dyDescent="0.25">
      <c r="A3873" t="str">
        <f>T("   190531")</f>
        <v xml:space="preserve">   190531</v>
      </c>
      <c r="B3873" t="str">
        <f>T("   Biscuits additionnés d'édulcorants")</f>
        <v xml:space="preserve">   Biscuits additionnés d'édulcorants</v>
      </c>
      <c r="C3873">
        <v>78996817</v>
      </c>
      <c r="D3873">
        <v>128951</v>
      </c>
    </row>
    <row r="3874" spans="1:4" x14ac:dyDescent="0.25">
      <c r="A3874" t="str">
        <f>T("   190532")</f>
        <v xml:space="preserve">   190532</v>
      </c>
      <c r="B3874" t="str">
        <f>T("   GAUFRES ET GAUFRETTES")</f>
        <v xml:space="preserve">   GAUFRES ET GAUFRETTES</v>
      </c>
      <c r="C3874">
        <v>8607096</v>
      </c>
      <c r="D3874">
        <v>7923</v>
      </c>
    </row>
    <row r="3875" spans="1:4" x14ac:dyDescent="0.25">
      <c r="A3875" t="str">
        <f>T("   190540")</f>
        <v xml:space="preserve">   190540</v>
      </c>
      <c r="B3875" t="str">
        <f>T("   Biscottes, pain grillé et produits simil. grillés")</f>
        <v xml:space="preserve">   Biscottes, pain grillé et produits simil. grillés</v>
      </c>
      <c r="C3875">
        <v>36794915</v>
      </c>
      <c r="D3875">
        <v>62173</v>
      </c>
    </row>
    <row r="3876" spans="1:4" x14ac:dyDescent="0.25">
      <c r="A3876" t="str">
        <f>T("   190590")</f>
        <v xml:space="preserve">   190590</v>
      </c>
      <c r="B3876" t="s">
        <v>52</v>
      </c>
      <c r="C3876">
        <v>850914830</v>
      </c>
      <c r="D3876">
        <v>1075804.02</v>
      </c>
    </row>
    <row r="3877" spans="1:4" x14ac:dyDescent="0.25">
      <c r="A3877" t="str">
        <f>T("   200190")</f>
        <v xml:space="preserve">   200190</v>
      </c>
      <c r="B3877"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3877">
        <v>277471</v>
      </c>
      <c r="D3877">
        <v>1153</v>
      </c>
    </row>
    <row r="3878" spans="1:4" x14ac:dyDescent="0.25">
      <c r="A3878" t="str">
        <f>T("   200290")</f>
        <v xml:space="preserve">   200290</v>
      </c>
      <c r="B3878"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3878">
        <v>11159847</v>
      </c>
      <c r="D3878">
        <v>21784</v>
      </c>
    </row>
    <row r="3879" spans="1:4" x14ac:dyDescent="0.25">
      <c r="A3879" t="str">
        <f>T("   200310")</f>
        <v xml:space="preserve">   200310</v>
      </c>
      <c r="B3879" t="str">
        <f>T("   Champignons du genre 'Agaricus', préparés ou conservés autrement qu'au vinaigre ou à l'acide acétique")</f>
        <v xml:space="preserve">   Champignons du genre 'Agaricus', préparés ou conservés autrement qu'au vinaigre ou à l'acide acétique</v>
      </c>
      <c r="C3879">
        <v>5035582</v>
      </c>
      <c r="D3879">
        <v>5099</v>
      </c>
    </row>
    <row r="3880" spans="1:4" x14ac:dyDescent="0.25">
      <c r="A3880" t="str">
        <f>T("   200390")</f>
        <v xml:space="preserve">   200390</v>
      </c>
      <c r="B3880"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3880">
        <v>42417457</v>
      </c>
      <c r="D3880">
        <v>75973</v>
      </c>
    </row>
    <row r="3881" spans="1:4" x14ac:dyDescent="0.25">
      <c r="A3881" t="str">
        <f>T("   200410")</f>
        <v xml:space="preserve">   200410</v>
      </c>
      <c r="B3881" t="str">
        <f>T("   Pommes de terre, préparées ou conservées autrement qu'au vinaigre ou à l'acide acétique, congelées")</f>
        <v xml:space="preserve">   Pommes de terre, préparées ou conservées autrement qu'au vinaigre ou à l'acide acétique, congelées</v>
      </c>
      <c r="C3881">
        <v>36881852</v>
      </c>
      <c r="D3881">
        <v>135084</v>
      </c>
    </row>
    <row r="3882" spans="1:4" x14ac:dyDescent="0.25">
      <c r="A3882" t="str">
        <f>T("   200490")</f>
        <v xml:space="preserve">   200490</v>
      </c>
      <c r="B3882" t="str">
        <f>T("   LÉGUMES ET MÉLANGES DE LÉGUMES, PRÉPARÉS OU CONSERVÉS AUTREMENT QU'AU VINAIGRE OU À L'ACIDE ACÉTIQUE, CONGELÉS (À L'EXCL. DES CONFITS AU SUCRE AINSI QUE DES TOMATES, DES CHAMPIGNONS, DES TRUFFES ET DES POMMES DE TERRE, NON-MÉLANGÉS)")</f>
        <v xml:space="preserve">   LÉGUMES ET MÉLANGES DE LÉGUMES, PRÉPARÉS OU CONSERVÉS AUTREMENT QU'AU VINAIGRE OU À L'ACIDE ACÉTIQUE, CONGELÉS (À L'EXCL. DES CONFITS AU SUCRE AINSI QUE DES TOMATES, DES CHAMPIGNONS, DES TRUFFES ET DES POMMES DE TERRE, NON-MÉLANGÉS)</v>
      </c>
      <c r="C3882">
        <v>39959436</v>
      </c>
      <c r="D3882">
        <v>57102</v>
      </c>
    </row>
    <row r="3883" spans="1:4" x14ac:dyDescent="0.25">
      <c r="A3883" t="str">
        <f>T("   200510")</f>
        <v xml:space="preserve">   200510</v>
      </c>
      <c r="B3883" t="str">
        <f>T("   Légumes, présentés sous la forme de préparations finement homogénéisées, conditionnés pour la vente au détail comme aliments pour enfants ou pour usages diététiques, en récipients d'un contenu &lt;= 250 g")</f>
        <v xml:space="preserve">   Légumes, présentés sous la forme de préparations finement homogénéisées, conditionnés pour la vente au détail comme aliments pour enfants ou pour usages diététiques, en récipients d'un contenu &lt;= 250 g</v>
      </c>
      <c r="C3883">
        <v>245802</v>
      </c>
      <c r="D3883">
        <v>116</v>
      </c>
    </row>
    <row r="3884" spans="1:4" x14ac:dyDescent="0.25">
      <c r="A3884" t="str">
        <f>T("   200520")</f>
        <v xml:space="preserve">   200520</v>
      </c>
      <c r="B3884" t="str">
        <f>T("   POMMES DE TERRE, PRÉPARÉES OU CONSERVÉES AUTREMENT QU'AU VINAIGRE OU À L'ACIDE ACÉTIQUE, NON-CONGELÉES")</f>
        <v xml:space="preserve">   POMMES DE TERRE, PRÉPARÉES OU CONSERVÉES AUTREMENT QU'AU VINAIGRE OU À L'ACIDE ACÉTIQUE, NON-CONGELÉES</v>
      </c>
      <c r="C3884">
        <v>15053626</v>
      </c>
      <c r="D3884">
        <v>37235.4</v>
      </c>
    </row>
    <row r="3885" spans="1:4" x14ac:dyDescent="0.25">
      <c r="A3885" t="str">
        <f>T("   200540")</f>
        <v xml:space="preserve">   200540</v>
      </c>
      <c r="B3885" t="str">
        <f>T("   Pois [Pisum sativum], préparés ou conservés autrement qu'au vinaigre ou à l'acide acétique, non congelés")</f>
        <v xml:space="preserve">   Pois [Pisum sativum], préparés ou conservés autrement qu'au vinaigre ou à l'acide acétique, non congelés</v>
      </c>
      <c r="C3885">
        <v>14813440</v>
      </c>
      <c r="D3885">
        <v>34219</v>
      </c>
    </row>
    <row r="3886" spans="1:4" x14ac:dyDescent="0.25">
      <c r="A3886" t="str">
        <f>T("   200551")</f>
        <v xml:space="preserve">   200551</v>
      </c>
      <c r="B3886" t="str">
        <f>T("   Haricots [Vigna spp., Phaseolus spp.], en grains, préparés ou conservés autrement qu'au vinaigre ou à l'acide acétique, non congelés")</f>
        <v xml:space="preserve">   Haricots [Vigna spp., Phaseolus spp.], en grains, préparés ou conservés autrement qu'au vinaigre ou à l'acide acétique, non congelés</v>
      </c>
      <c r="C3886">
        <v>160710</v>
      </c>
      <c r="D3886">
        <v>1059</v>
      </c>
    </row>
    <row r="3887" spans="1:4" x14ac:dyDescent="0.25">
      <c r="A3887" t="str">
        <f>T("   200559")</f>
        <v xml:space="preserve">   200559</v>
      </c>
      <c r="B3887"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3887">
        <v>6926282</v>
      </c>
      <c r="D3887">
        <v>15412</v>
      </c>
    </row>
    <row r="3888" spans="1:4" x14ac:dyDescent="0.25">
      <c r="A3888" t="str">
        <f>T("   200570")</f>
        <v xml:space="preserve">   200570</v>
      </c>
      <c r="B3888" t="str">
        <f>T("   OLIVES, PRÉPARÉES OU CONSERVÉES AUTREMENT QU'AU VINAIGRE OU À L'ACIDE ACÉTIQUE, NON-CONGELÉES")</f>
        <v xml:space="preserve">   OLIVES, PRÉPARÉES OU CONSERVÉES AUTREMENT QU'AU VINAIGRE OU À L'ACIDE ACÉTIQUE, NON-CONGELÉES</v>
      </c>
      <c r="C3888">
        <v>73272915</v>
      </c>
      <c r="D3888">
        <v>132565</v>
      </c>
    </row>
    <row r="3889" spans="1:4" x14ac:dyDescent="0.25">
      <c r="A3889" t="str">
        <f>T("   200580")</f>
        <v xml:space="preserve">   200580</v>
      </c>
      <c r="B3889" t="str">
        <f>T("   Maïs doux [Zea mays var. saccharata], préparé ou conservé autrement qu'au vinaigre ou à l'acide acétique, non congelé")</f>
        <v xml:space="preserve">   Maïs doux [Zea mays var. saccharata], préparé ou conservé autrement qu'au vinaigre ou à l'acide acétique, non congelé</v>
      </c>
      <c r="C3889">
        <v>3987535</v>
      </c>
      <c r="D3889">
        <v>13441</v>
      </c>
    </row>
    <row r="3890" spans="1:4" x14ac:dyDescent="0.25">
      <c r="A3890" t="str">
        <f>T("   200590")</f>
        <v xml:space="preserve">   200590</v>
      </c>
      <c r="B3890" t="s">
        <v>53</v>
      </c>
      <c r="C3890">
        <v>59529559</v>
      </c>
      <c r="D3890">
        <v>93673</v>
      </c>
    </row>
    <row r="3891" spans="1:4" x14ac:dyDescent="0.25">
      <c r="A3891" t="str">
        <f>T("   200710")</f>
        <v xml:space="preserve">   200710</v>
      </c>
      <c r="B3891" t="s">
        <v>54</v>
      </c>
      <c r="C3891">
        <v>15669966</v>
      </c>
      <c r="D3891">
        <v>8132.24</v>
      </c>
    </row>
    <row r="3892" spans="1:4" x14ac:dyDescent="0.25">
      <c r="A3892" t="str">
        <f>T("   200799")</f>
        <v xml:space="preserve">   200799</v>
      </c>
      <c r="B3892" t="s">
        <v>55</v>
      </c>
      <c r="C3892">
        <v>45697729</v>
      </c>
      <c r="D3892">
        <v>68549.73</v>
      </c>
    </row>
    <row r="3893" spans="1:4" x14ac:dyDescent="0.25">
      <c r="A3893" t="str">
        <f>T("   200819")</f>
        <v xml:space="preserve">   200819</v>
      </c>
      <c r="B3893" t="s">
        <v>56</v>
      </c>
      <c r="C3893">
        <v>3168890</v>
      </c>
      <c r="D3893">
        <v>5703</v>
      </c>
    </row>
    <row r="3894" spans="1:4" x14ac:dyDescent="0.25">
      <c r="A3894" t="str">
        <f>T("   200840")</f>
        <v xml:space="preserve">   200840</v>
      </c>
      <c r="B3894" t="str">
        <f>T("   Poires, préparées ou conservées, avec ou sans addition de sucre ou d'autres édulcorants ou d'alcool, n.d.a.")</f>
        <v xml:space="preserve">   Poires, préparées ou conservées, avec ou sans addition de sucre ou d'autres édulcorants ou d'alcool, n.d.a.</v>
      </c>
      <c r="C3894">
        <v>13000610</v>
      </c>
      <c r="D3894">
        <v>5728</v>
      </c>
    </row>
    <row r="3895" spans="1:4" x14ac:dyDescent="0.25">
      <c r="A3895" t="str">
        <f>T("   200880")</f>
        <v xml:space="preserve">   200880</v>
      </c>
      <c r="B3895" t="str">
        <f>T("   Fraises, préparées ou conservées, avec ou sans addition de sucre ou d'autres édulcorants ou d'alcool, n.d.a.")</f>
        <v xml:space="preserve">   Fraises, préparées ou conservées, avec ou sans addition de sucre ou d'autres édulcorants ou d'alcool, n.d.a.</v>
      </c>
      <c r="C3895">
        <v>549038</v>
      </c>
      <c r="D3895">
        <v>590</v>
      </c>
    </row>
    <row r="3896" spans="1:4" x14ac:dyDescent="0.25">
      <c r="A3896" t="str">
        <f>T("   200892")</f>
        <v xml:space="preserve">   200892</v>
      </c>
      <c r="B3896" t="s">
        <v>58</v>
      </c>
      <c r="C3896">
        <v>2592354</v>
      </c>
      <c r="D3896">
        <v>4151</v>
      </c>
    </row>
    <row r="3897" spans="1:4" x14ac:dyDescent="0.25">
      <c r="A3897" t="str">
        <f>T("   200899")</f>
        <v xml:space="preserve">   200899</v>
      </c>
      <c r="B3897" t="s">
        <v>59</v>
      </c>
      <c r="C3897">
        <v>1740918</v>
      </c>
      <c r="D3897">
        <v>3824</v>
      </c>
    </row>
    <row r="3898" spans="1:4" x14ac:dyDescent="0.25">
      <c r="A3898" t="str">
        <f>T("   200911")</f>
        <v xml:space="preserve">   200911</v>
      </c>
      <c r="B3898" t="str">
        <f>T("   JUS D'ORANGE, NON-FERMENTÉS, SANS ADDITION D'ALCOOL, AVEC OU SANS ADDITION DE SUCRE OU D'AUTRES ÉDULCORANTS, CONGELÉS")</f>
        <v xml:space="preserve">   JUS D'ORANGE, NON-FERMENTÉS, SANS ADDITION D'ALCOOL, AVEC OU SANS ADDITION DE SUCRE OU D'AUTRES ÉDULCORANTS, CONGELÉS</v>
      </c>
      <c r="C3898">
        <v>1490341</v>
      </c>
      <c r="D3898">
        <v>2975</v>
      </c>
    </row>
    <row r="3899" spans="1:4" x14ac:dyDescent="0.25">
      <c r="A3899" t="str">
        <f>T("   200919")</f>
        <v xml:space="preserve">   200919</v>
      </c>
      <c r="B3899"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3899">
        <v>14899192</v>
      </c>
      <c r="D3899">
        <v>31804</v>
      </c>
    </row>
    <row r="3900" spans="1:4" x14ac:dyDescent="0.25">
      <c r="A3900" t="str">
        <f>T("   200929")</f>
        <v xml:space="preserve">   200929</v>
      </c>
      <c r="B3900" t="str">
        <f>T("   JUS DE PAMPLEMOUSSE OU DE POMELO, NON-FERMENTÉS, SANS ADDITION D'ALCOOL, AVEC OU SANS ADDITION DE SUCRE OU D'AUTRES ÉDULCORANTS, D'UNE VALEUR BRIX &gt; 20 À 20°C")</f>
        <v xml:space="preserve">   JUS DE PAMPLEMOUSSE OU DE POMELO, NON-FERMENTÉS, SANS ADDITION D'ALCOOL, AVEC OU SANS ADDITION DE SUCRE OU D'AUTRES ÉDULCORANTS, D'UNE VALEUR BRIX &gt; 20 À 20°C</v>
      </c>
      <c r="C3900">
        <v>937191</v>
      </c>
      <c r="D3900">
        <v>1923</v>
      </c>
    </row>
    <row r="3901" spans="1:4" x14ac:dyDescent="0.25">
      <c r="A3901" t="str">
        <f>T("   200931")</f>
        <v xml:space="preserve">   200931</v>
      </c>
      <c r="B3901" t="str">
        <f>T("   JUS D'AGRUMES, NON-FERMENTÉS, SANS ADDITION D'ALCOOL, AVEC OU SANS ADDITION DE SUCRE OU D'AUTRES ÉDULCORANTS, D'UNE VALEUR BRIX &lt;= 20 À 20°C (À L'EXCL. DES MÉLANGES, DES JUS D'ORANGE, DE PAMPLEMOUSSE OU DE POMELO)")</f>
        <v xml:space="preserve">   JUS D'AGRUMES, NON-FERMENTÉS, SANS ADDITION D'ALCOOL, AVEC OU SANS ADDITION DE SUCRE OU D'AUTRES ÉDULCORANTS, D'UNE VALEUR BRIX &lt;= 20 À 20°C (À L'EXCL. DES MÉLANGES, DES JUS D'ORANGE, DE PAMPLEMOUSSE OU DE POMELO)</v>
      </c>
      <c r="C3901">
        <v>224995</v>
      </c>
      <c r="D3901">
        <v>106</v>
      </c>
    </row>
    <row r="3902" spans="1:4" x14ac:dyDescent="0.25">
      <c r="A3902" t="str">
        <f>T("   200939")</f>
        <v xml:space="preserve">   200939</v>
      </c>
      <c r="B3902" t="str">
        <f>T("   JUS D'AGRUMES, NON-FERMENTÉS, SANS ADDITION D'ALCOOL, AVEC OU SANS ADDITION DE SUCRE OU D'AUTRES ÉDULCORANTS, D'UNE VALEUR BRIX &gt; 20 À 20°C (À L'EXCL. DES MÉLANGES AINSI QUE DES JUS D'ORANGE, DE PAMPLEMOUSSE OU DE POMELO)")</f>
        <v xml:space="preserve">   JUS D'AGRUMES, NON-FERMENTÉS, SANS ADDITION D'ALCOOL, AVEC OU SANS ADDITION DE SUCRE OU D'AUTRES ÉDULCORANTS, D'UNE VALEUR BRIX &gt; 20 À 20°C (À L'EXCL. DES MÉLANGES AINSI QUE DES JUS D'ORANGE, DE PAMPLEMOUSSE OU DE POMELO)</v>
      </c>
      <c r="C3902">
        <v>2486744</v>
      </c>
      <c r="D3902">
        <v>3420</v>
      </c>
    </row>
    <row r="3903" spans="1:4" x14ac:dyDescent="0.25">
      <c r="A3903" t="str">
        <f>T("   200949")</f>
        <v xml:space="preserve">   200949</v>
      </c>
      <c r="B3903"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3903">
        <v>4933972</v>
      </c>
      <c r="D3903">
        <v>13635</v>
      </c>
    </row>
    <row r="3904" spans="1:4" x14ac:dyDescent="0.25">
      <c r="A3904" t="str">
        <f>T("   200969")</f>
        <v xml:space="preserve">   200969</v>
      </c>
      <c r="B3904"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3904">
        <v>7591457</v>
      </c>
      <c r="D3904">
        <v>14221</v>
      </c>
    </row>
    <row r="3905" spans="1:4" x14ac:dyDescent="0.25">
      <c r="A3905" t="str">
        <f>T("   200979")</f>
        <v xml:space="preserve">   200979</v>
      </c>
      <c r="B3905"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3905">
        <v>6594956</v>
      </c>
      <c r="D3905">
        <v>15188</v>
      </c>
    </row>
    <row r="3906" spans="1:4" x14ac:dyDescent="0.25">
      <c r="A3906" t="str">
        <f>T("   200980")</f>
        <v xml:space="preserve">   200980</v>
      </c>
      <c r="B3906"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906">
        <v>60762266</v>
      </c>
      <c r="D3906">
        <v>85851</v>
      </c>
    </row>
    <row r="3907" spans="1:4" x14ac:dyDescent="0.25">
      <c r="A3907" t="str">
        <f>T("   200990")</f>
        <v xml:space="preserve">   200990</v>
      </c>
      <c r="B3907"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3907">
        <v>37670614</v>
      </c>
      <c r="D3907">
        <v>69388</v>
      </c>
    </row>
    <row r="3908" spans="1:4" x14ac:dyDescent="0.25">
      <c r="A3908" t="str">
        <f>T("   210111")</f>
        <v xml:space="preserve">   210111</v>
      </c>
      <c r="B3908" t="str">
        <f>T("   Extraits, essences et concentrés de café")</f>
        <v xml:space="preserve">   Extraits, essences et concentrés de café</v>
      </c>
      <c r="C3908">
        <v>4279484</v>
      </c>
      <c r="D3908">
        <v>5918</v>
      </c>
    </row>
    <row r="3909" spans="1:4" x14ac:dyDescent="0.25">
      <c r="A3909" t="str">
        <f>T("   210130")</f>
        <v xml:space="preserve">   210130</v>
      </c>
      <c r="B3909" t="str">
        <f>T("   Chicorée torréfiée et autres succédanés torréfiés du café et leurs extraits, essences et concentrés")</f>
        <v xml:space="preserve">   Chicorée torréfiée et autres succédanés torréfiés du café et leurs extraits, essences et concentrés</v>
      </c>
      <c r="C3909">
        <v>28430199</v>
      </c>
      <c r="D3909">
        <v>17983</v>
      </c>
    </row>
    <row r="3910" spans="1:4" x14ac:dyDescent="0.25">
      <c r="A3910" t="str">
        <f>T("   210210")</f>
        <v xml:space="preserve">   210210</v>
      </c>
      <c r="B3910" t="str">
        <f>T("   Levures vivantes")</f>
        <v xml:space="preserve">   Levures vivantes</v>
      </c>
      <c r="C3910">
        <v>37410173</v>
      </c>
      <c r="D3910">
        <v>24529</v>
      </c>
    </row>
    <row r="3911" spans="1:4" x14ac:dyDescent="0.25">
      <c r="A3911" t="str">
        <f>T("   210220")</f>
        <v xml:space="preserve">   210220</v>
      </c>
      <c r="B3911" t="str">
        <f>T("   Levures mortes; autres micro-organismes monocellulaires morts (à l'excl. des micro-organismes monocellulaires conditionnés comme médicaments)")</f>
        <v xml:space="preserve">   Levures mortes; autres micro-organismes monocellulaires morts (à l'excl. des micro-organismes monocellulaires conditionnés comme médicaments)</v>
      </c>
      <c r="C3911">
        <v>53147742</v>
      </c>
      <c r="D3911">
        <v>38805</v>
      </c>
    </row>
    <row r="3912" spans="1:4" x14ac:dyDescent="0.25">
      <c r="A3912" t="str">
        <f>T("   210230")</f>
        <v xml:space="preserve">   210230</v>
      </c>
      <c r="B3912" t="str">
        <f>T("   Poudres à lever préparées")</f>
        <v xml:space="preserve">   Poudres à lever préparées</v>
      </c>
      <c r="C3912">
        <v>104772135</v>
      </c>
      <c r="D3912">
        <v>75172</v>
      </c>
    </row>
    <row r="3913" spans="1:4" x14ac:dyDescent="0.25">
      <c r="A3913" t="str">
        <f>T("   210320")</f>
        <v xml:space="preserve">   210320</v>
      </c>
      <c r="B3913" t="str">
        <f>T("   Tomato ketchup et autres sauces tomates")</f>
        <v xml:space="preserve">   Tomato ketchup et autres sauces tomates</v>
      </c>
      <c r="C3913">
        <v>12787940</v>
      </c>
      <c r="D3913">
        <v>14532</v>
      </c>
    </row>
    <row r="3914" spans="1:4" x14ac:dyDescent="0.25">
      <c r="A3914" t="str">
        <f>T("   210330")</f>
        <v xml:space="preserve">   210330</v>
      </c>
      <c r="B3914" t="str">
        <f>T("   Farine de moutarde et moutarde préparée")</f>
        <v xml:space="preserve">   Farine de moutarde et moutarde préparée</v>
      </c>
      <c r="C3914">
        <v>2360800</v>
      </c>
      <c r="D3914">
        <v>4045</v>
      </c>
    </row>
    <row r="3915" spans="1:4" x14ac:dyDescent="0.25">
      <c r="A3915" t="str">
        <f>T("   210390")</f>
        <v xml:space="preserve">   210390</v>
      </c>
      <c r="B3915"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3915">
        <v>64426421</v>
      </c>
      <c r="D3915">
        <v>69909</v>
      </c>
    </row>
    <row r="3916" spans="1:4" x14ac:dyDescent="0.25">
      <c r="A3916" t="str">
        <f>T("   210410")</f>
        <v xml:space="preserve">   210410</v>
      </c>
      <c r="B3916" t="str">
        <f>T("   Préparations pour soupes, potages ou bouillons; soupes, potages ou bouillons préparés")</f>
        <v xml:space="preserve">   Préparations pour soupes, potages ou bouillons; soupes, potages ou bouillons préparés</v>
      </c>
      <c r="C3916">
        <v>10203458</v>
      </c>
      <c r="D3916">
        <v>11074</v>
      </c>
    </row>
    <row r="3917" spans="1:4" x14ac:dyDescent="0.25">
      <c r="A3917" t="str">
        <f>T("   210420")</f>
        <v xml:space="preserve">   210420</v>
      </c>
      <c r="B3917" t="s">
        <v>60</v>
      </c>
      <c r="C3917">
        <v>12548856</v>
      </c>
      <c r="D3917">
        <v>3584</v>
      </c>
    </row>
    <row r="3918" spans="1:4" x14ac:dyDescent="0.25">
      <c r="A3918" t="str">
        <f>T("   210500")</f>
        <v xml:space="preserve">   210500</v>
      </c>
      <c r="B3918" t="str">
        <f>T("   Glaces de consommation, même contenant du cacao")</f>
        <v xml:space="preserve">   Glaces de consommation, même contenant du cacao</v>
      </c>
      <c r="C3918">
        <v>95155084</v>
      </c>
      <c r="D3918">
        <v>78176</v>
      </c>
    </row>
    <row r="3919" spans="1:4" x14ac:dyDescent="0.25">
      <c r="A3919" t="str">
        <f>T("   210690")</f>
        <v xml:space="preserve">   210690</v>
      </c>
      <c r="B3919" t="str">
        <f>T("   Préparations alimentaires, n.d.a.")</f>
        <v xml:space="preserve">   Préparations alimentaires, n.d.a.</v>
      </c>
      <c r="C3919">
        <v>1618540275</v>
      </c>
      <c r="D3919">
        <v>799449</v>
      </c>
    </row>
    <row r="3920" spans="1:4" x14ac:dyDescent="0.25">
      <c r="A3920" t="str">
        <f>T("   220110")</f>
        <v xml:space="preserve">   220110</v>
      </c>
      <c r="B3920" t="str">
        <f>T("   Eaux minérales et eaux gazéifiées, non additionnées de sucre ou d'autres édulcorants ni aromatisées")</f>
        <v xml:space="preserve">   Eaux minérales et eaux gazéifiées, non additionnées de sucre ou d'autres édulcorants ni aromatisées</v>
      </c>
      <c r="C3920">
        <v>76568541</v>
      </c>
      <c r="D3920">
        <v>275531</v>
      </c>
    </row>
    <row r="3921" spans="1:4" x14ac:dyDescent="0.25">
      <c r="A3921" t="str">
        <f>T("   220190")</f>
        <v xml:space="preserve">   220190</v>
      </c>
      <c r="B3921"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3921">
        <v>85683306</v>
      </c>
      <c r="D3921">
        <v>107476</v>
      </c>
    </row>
    <row r="3922" spans="1:4" x14ac:dyDescent="0.25">
      <c r="A3922" t="str">
        <f>T("   220210")</f>
        <v xml:space="preserve">   220210</v>
      </c>
      <c r="B3922"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3922">
        <v>86311423</v>
      </c>
      <c r="D3922">
        <v>204046.1</v>
      </c>
    </row>
    <row r="3923" spans="1:4" x14ac:dyDescent="0.25">
      <c r="A3923" t="str">
        <f>T("   220290")</f>
        <v xml:space="preserve">   220290</v>
      </c>
      <c r="B3923" t="str">
        <f>T("   BOISSONS NON-ALCOOLIQUES (À L'EXCL. DES EAUX, DES JUS DE FRUITS OU DE LÉGUMES AINSI QUE DU LAIT)")</f>
        <v xml:space="preserve">   BOISSONS NON-ALCOOLIQUES (À L'EXCL. DES EAUX, DES JUS DE FRUITS OU DE LÉGUMES AINSI QUE DU LAIT)</v>
      </c>
      <c r="C3923">
        <v>122818691</v>
      </c>
      <c r="D3923">
        <v>313824.51</v>
      </c>
    </row>
    <row r="3924" spans="1:4" x14ac:dyDescent="0.25">
      <c r="A3924" t="str">
        <f>T("   220300")</f>
        <v xml:space="preserve">   220300</v>
      </c>
      <c r="B3924" t="str">
        <f>T("   Bières de malt")</f>
        <v xml:space="preserve">   Bières de malt</v>
      </c>
      <c r="C3924">
        <v>73396553</v>
      </c>
      <c r="D3924">
        <v>219265</v>
      </c>
    </row>
    <row r="3925" spans="1:4" x14ac:dyDescent="0.25">
      <c r="A3925" t="str">
        <f>T("   220410")</f>
        <v xml:space="preserve">   220410</v>
      </c>
      <c r="B3925" t="str">
        <f>T("   Vins mousseux produits à partir de raisins frais")</f>
        <v xml:space="preserve">   Vins mousseux produits à partir de raisins frais</v>
      </c>
      <c r="C3925">
        <v>212114578</v>
      </c>
      <c r="D3925">
        <v>94789.59</v>
      </c>
    </row>
    <row r="3926" spans="1:4" x14ac:dyDescent="0.25">
      <c r="A3926" t="str">
        <f>T("   220421")</f>
        <v xml:space="preserve">   220421</v>
      </c>
      <c r="B3926"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3926">
        <v>880100881</v>
      </c>
      <c r="D3926">
        <v>1370163.04</v>
      </c>
    </row>
    <row r="3927" spans="1:4" x14ac:dyDescent="0.25">
      <c r="A3927" t="str">
        <f>T("   220429")</f>
        <v xml:space="preserve">   220429</v>
      </c>
      <c r="B3927"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3927">
        <v>87952433</v>
      </c>
      <c r="D3927">
        <v>173752</v>
      </c>
    </row>
    <row r="3928" spans="1:4" x14ac:dyDescent="0.25">
      <c r="A3928" t="str">
        <f>T("   220510")</f>
        <v xml:space="preserve">   220510</v>
      </c>
      <c r="B3928"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3928">
        <v>44055004</v>
      </c>
      <c r="D3928">
        <v>203879</v>
      </c>
    </row>
    <row r="3929" spans="1:4" x14ac:dyDescent="0.25">
      <c r="A3929" t="str">
        <f>T("   220600")</f>
        <v xml:space="preserve">   220600</v>
      </c>
      <c r="B3929" t="s">
        <v>61</v>
      </c>
      <c r="C3929">
        <v>36949030</v>
      </c>
      <c r="D3929">
        <v>149704</v>
      </c>
    </row>
    <row r="3930" spans="1:4" x14ac:dyDescent="0.25">
      <c r="A3930" t="str">
        <f>T("   220710")</f>
        <v xml:space="preserve">   220710</v>
      </c>
      <c r="B3930" t="str">
        <f>T("   Alcool éthylique non dénaturé d'un titre alcoométrique volumique &gt;= 80% vol")</f>
        <v xml:space="preserve">   Alcool éthylique non dénaturé d'un titre alcoométrique volumique &gt;= 80% vol</v>
      </c>
      <c r="C3930">
        <v>43950</v>
      </c>
      <c r="D3930">
        <v>5</v>
      </c>
    </row>
    <row r="3931" spans="1:4" x14ac:dyDescent="0.25">
      <c r="A3931" t="str">
        <f>T("   220720")</f>
        <v xml:space="preserve">   220720</v>
      </c>
      <c r="B3931" t="str">
        <f>T("   Alcool éthylique et eaux-de-vie dénaturés de tous titres")</f>
        <v xml:space="preserve">   Alcool éthylique et eaux-de-vie dénaturés de tous titres</v>
      </c>
      <c r="C3931">
        <v>1771092</v>
      </c>
      <c r="D3931">
        <v>1050</v>
      </c>
    </row>
    <row r="3932" spans="1:4" x14ac:dyDescent="0.25">
      <c r="A3932" t="str">
        <f>T("   220820")</f>
        <v xml:space="preserve">   220820</v>
      </c>
      <c r="B3932" t="str">
        <f>T("   Eaux-de-vie de vin ou de marc de raisins")</f>
        <v xml:space="preserve">   Eaux-de-vie de vin ou de marc de raisins</v>
      </c>
      <c r="C3932">
        <v>915064</v>
      </c>
      <c r="D3932">
        <v>314</v>
      </c>
    </row>
    <row r="3933" spans="1:4" x14ac:dyDescent="0.25">
      <c r="A3933" t="str">
        <f>T("   220830")</f>
        <v xml:space="preserve">   220830</v>
      </c>
      <c r="B3933" t="str">
        <f>T("   Whiskies")</f>
        <v xml:space="preserve">   Whiskies</v>
      </c>
      <c r="C3933">
        <v>80742381</v>
      </c>
      <c r="D3933">
        <v>53079</v>
      </c>
    </row>
    <row r="3934" spans="1:4" x14ac:dyDescent="0.25">
      <c r="A3934" t="str">
        <f>T("   220840")</f>
        <v xml:space="preserve">   220840</v>
      </c>
      <c r="B3934" t="str">
        <f>T("   RHUM ET AUTRES EAUX-DE-VIE PROVENANT DE LA DISTILLATION, APRÈS FERMENTATION, DE PRODUITS DE CANNES À SUCRE")</f>
        <v xml:space="preserve">   RHUM ET AUTRES EAUX-DE-VIE PROVENANT DE LA DISTILLATION, APRÈS FERMENTATION, DE PRODUITS DE CANNES À SUCRE</v>
      </c>
      <c r="C3934">
        <v>36511947</v>
      </c>
      <c r="D3934">
        <v>28034</v>
      </c>
    </row>
    <row r="3935" spans="1:4" x14ac:dyDescent="0.25">
      <c r="A3935" t="str">
        <f>T("   220850")</f>
        <v xml:space="preserve">   220850</v>
      </c>
      <c r="B3935" t="str">
        <f>T("   Gin et genièvre")</f>
        <v xml:space="preserve">   Gin et genièvre</v>
      </c>
      <c r="C3935">
        <v>20321772</v>
      </c>
      <c r="D3935">
        <v>46922</v>
      </c>
    </row>
    <row r="3936" spans="1:4" x14ac:dyDescent="0.25">
      <c r="A3936" t="str">
        <f>T("   220860")</f>
        <v xml:space="preserve">   220860</v>
      </c>
      <c r="B3936" t="str">
        <f>T("   VODKA")</f>
        <v xml:space="preserve">   VODKA</v>
      </c>
      <c r="C3936">
        <v>13249762</v>
      </c>
      <c r="D3936">
        <v>20719</v>
      </c>
    </row>
    <row r="3937" spans="1:4" x14ac:dyDescent="0.25">
      <c r="A3937" t="str">
        <f>T("   220870")</f>
        <v xml:space="preserve">   220870</v>
      </c>
      <c r="B3937" t="str">
        <f>T("   LIQUEURS")</f>
        <v xml:space="preserve">   LIQUEURS</v>
      </c>
      <c r="C3937">
        <v>28829930</v>
      </c>
      <c r="D3937">
        <v>36407</v>
      </c>
    </row>
    <row r="3938" spans="1:4" x14ac:dyDescent="0.25">
      <c r="A3938" t="str">
        <f>T("   220890")</f>
        <v xml:space="preserve">   220890</v>
      </c>
      <c r="B3938" t="s">
        <v>62</v>
      </c>
      <c r="C3938">
        <v>102804652</v>
      </c>
      <c r="D3938">
        <v>230370</v>
      </c>
    </row>
    <row r="3939" spans="1:4" x14ac:dyDescent="0.25">
      <c r="A3939" t="str">
        <f>T("   220900")</f>
        <v xml:space="preserve">   220900</v>
      </c>
      <c r="B3939" t="str">
        <f>T("   Vinaigres comestibles et succédanés de vinaigre comestibles obtenus à partir d'acide acétique")</f>
        <v xml:space="preserve">   Vinaigres comestibles et succédanés de vinaigre comestibles obtenus à partir d'acide acétique</v>
      </c>
      <c r="C3939">
        <v>563418</v>
      </c>
      <c r="D3939">
        <v>732</v>
      </c>
    </row>
    <row r="3940" spans="1:4" x14ac:dyDescent="0.25">
      <c r="A3940" t="str">
        <f>T("   230400")</f>
        <v xml:space="preserve">   230400</v>
      </c>
      <c r="B3940"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3940">
        <v>6586494</v>
      </c>
      <c r="D3940">
        <v>15000</v>
      </c>
    </row>
    <row r="3941" spans="1:4" x14ac:dyDescent="0.25">
      <c r="A3941" t="str">
        <f>T("   230910")</f>
        <v xml:space="preserve">   230910</v>
      </c>
      <c r="B3941" t="str">
        <f>T("   Aliments pour chiens ou chats, conditionnés pour la vente au détail")</f>
        <v xml:space="preserve">   Aliments pour chiens ou chats, conditionnés pour la vente au détail</v>
      </c>
      <c r="C3941">
        <v>58378720</v>
      </c>
      <c r="D3941">
        <v>83144.240000000005</v>
      </c>
    </row>
    <row r="3942" spans="1:4" x14ac:dyDescent="0.25">
      <c r="A3942" t="str">
        <f>T("   230990")</f>
        <v xml:space="preserve">   230990</v>
      </c>
      <c r="B3942"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3942">
        <v>91296400</v>
      </c>
      <c r="D3942">
        <v>138745</v>
      </c>
    </row>
    <row r="3943" spans="1:4" x14ac:dyDescent="0.25">
      <c r="A3943" t="str">
        <f>T("   250100")</f>
        <v xml:space="preserve">   250100</v>
      </c>
      <c r="B3943" t="s">
        <v>65</v>
      </c>
      <c r="C3943">
        <v>4921205</v>
      </c>
      <c r="D3943">
        <v>13184</v>
      </c>
    </row>
    <row r="3944" spans="1:4" x14ac:dyDescent="0.25">
      <c r="A3944" t="str">
        <f>T("   250510")</f>
        <v xml:space="preserve">   250510</v>
      </c>
      <c r="B3944" t="str">
        <f>T("   Sables siliceux et sables quartzeux, même colorés")</f>
        <v xml:space="preserve">   Sables siliceux et sables quartzeux, même colorés</v>
      </c>
      <c r="C3944">
        <v>4423794</v>
      </c>
      <c r="D3944">
        <v>19720</v>
      </c>
    </row>
    <row r="3945" spans="1:4" x14ac:dyDescent="0.25">
      <c r="A3945" t="str">
        <f>T("   250810")</f>
        <v xml:space="preserve">   250810</v>
      </c>
      <c r="B3945" t="str">
        <f>T("   Bentonite")</f>
        <v xml:space="preserve">   Bentonite</v>
      </c>
      <c r="C3945">
        <v>9813818</v>
      </c>
      <c r="D3945">
        <v>17800</v>
      </c>
    </row>
    <row r="3946" spans="1:4" x14ac:dyDescent="0.25">
      <c r="A3946" t="str">
        <f>T("   250840")</f>
        <v xml:space="preserve">   250840</v>
      </c>
      <c r="B3946" t="str">
        <f>T("   Argiles (à l'excl. des argiles réfractaires ou expansées ainsi que du kaolin et des autres argiles kaoliniques)")</f>
        <v xml:space="preserve">   Argiles (à l'excl. des argiles réfractaires ou expansées ainsi que du kaolin et des autres argiles kaoliniques)</v>
      </c>
      <c r="C3946">
        <v>16788826</v>
      </c>
      <c r="D3946">
        <v>9626</v>
      </c>
    </row>
    <row r="3947" spans="1:4" x14ac:dyDescent="0.25">
      <c r="A3947" t="str">
        <f>T("   250900")</f>
        <v xml:space="preserve">   250900</v>
      </c>
      <c r="B3947" t="str">
        <f>T("   Craie")</f>
        <v xml:space="preserve">   Craie</v>
      </c>
      <c r="C3947">
        <v>35745753</v>
      </c>
      <c r="D3947">
        <v>314003</v>
      </c>
    </row>
    <row r="3948" spans="1:4" x14ac:dyDescent="0.25">
      <c r="A3948" t="str">
        <f>T("   251200")</f>
        <v xml:space="preserve">   251200</v>
      </c>
      <c r="B3948" t="str">
        <f>T("   Farines siliceuses fossiles [kieselguhr, tripolite, diatomite, par exemple] et autres terres siliceuses analogues, d'une densité apparente &lt;= 1, même calcinées")</f>
        <v xml:space="preserve">   Farines siliceuses fossiles [kieselguhr, tripolite, diatomite, par exemple] et autres terres siliceuses analogues, d'une densité apparente &lt;= 1, même calcinées</v>
      </c>
      <c r="C3948">
        <v>169644217</v>
      </c>
      <c r="D3948">
        <v>274842</v>
      </c>
    </row>
    <row r="3949" spans="1:4" x14ac:dyDescent="0.25">
      <c r="A3949" t="str">
        <f>T("   251512")</f>
        <v xml:space="preserve">   251512</v>
      </c>
      <c r="B3949" t="str">
        <f>T("   MARBRES ET TRAVERTINS, SIMPL. DÉBITÉS, PAR SCIAGE OU AUTREMENT, EN BLOCS OU EN PLAQUES DE FORME CARRÉE OU RECTANGULAIRE")</f>
        <v xml:space="preserve">   MARBRES ET TRAVERTINS, SIMPL. DÉBITÉS, PAR SCIAGE OU AUTREMENT, EN BLOCS OU EN PLAQUES DE FORME CARRÉE OU RECTANGULAIRE</v>
      </c>
      <c r="C3949">
        <v>296875</v>
      </c>
      <c r="D3949">
        <v>1000</v>
      </c>
    </row>
    <row r="3950" spans="1:4" x14ac:dyDescent="0.25">
      <c r="A3950" t="str">
        <f>T("   251749")</f>
        <v xml:space="preserve">   251749</v>
      </c>
      <c r="B3950" t="s">
        <v>67</v>
      </c>
      <c r="C3950">
        <v>115449</v>
      </c>
      <c r="D3950">
        <v>37</v>
      </c>
    </row>
    <row r="3951" spans="1:4" x14ac:dyDescent="0.25">
      <c r="A3951" t="str">
        <f>T("   252020")</f>
        <v xml:space="preserve">   252020</v>
      </c>
      <c r="B3951" t="str">
        <f>T("   Plâtres, même colorés ou additionnés de faibles quantités d'accélérateurs ou de retardateurs")</f>
        <v xml:space="preserve">   Plâtres, même colorés ou additionnés de faibles quantités d'accélérateurs ou de retardateurs</v>
      </c>
      <c r="C3951">
        <v>20574112</v>
      </c>
      <c r="D3951">
        <v>392700</v>
      </c>
    </row>
    <row r="3952" spans="1:4" x14ac:dyDescent="0.25">
      <c r="A3952" t="str">
        <f>T("   252220")</f>
        <v xml:space="preserve">   252220</v>
      </c>
      <c r="B3952" t="str">
        <f>T("   Chaux éteinte")</f>
        <v xml:space="preserve">   Chaux éteinte</v>
      </c>
      <c r="C3952">
        <v>37963826</v>
      </c>
      <c r="D3952">
        <v>300513</v>
      </c>
    </row>
    <row r="3953" spans="1:4" x14ac:dyDescent="0.25">
      <c r="A3953" t="str">
        <f>T("   252310")</f>
        <v xml:space="preserve">   252310</v>
      </c>
      <c r="B3953" t="str">
        <f>T("   Ciments non pulvérisés dits 'clinkers'")</f>
        <v xml:space="preserve">   Ciments non pulvérisés dits 'clinkers'</v>
      </c>
      <c r="C3953">
        <v>276815</v>
      </c>
      <c r="D3953">
        <v>1151</v>
      </c>
    </row>
    <row r="3954" spans="1:4" x14ac:dyDescent="0.25">
      <c r="A3954" t="str">
        <f>T("   252321")</f>
        <v xml:space="preserve">   252321</v>
      </c>
      <c r="B3954" t="str">
        <f>T("   Ciments Portland blancs, même colorés artificiellement")</f>
        <v xml:space="preserve">   Ciments Portland blancs, même colorés artificiellement</v>
      </c>
      <c r="C3954">
        <v>8096456</v>
      </c>
      <c r="D3954">
        <v>77182</v>
      </c>
    </row>
    <row r="3955" spans="1:4" x14ac:dyDescent="0.25">
      <c r="A3955" t="str">
        <f>T("   252329")</f>
        <v xml:space="preserve">   252329</v>
      </c>
      <c r="B3955" t="str">
        <f>T("   Ciment Portland normal ou modéré (à l'excl. des ciments Portland blancs, même colorés artificiellement)")</f>
        <v xml:space="preserve">   Ciment Portland normal ou modéré (à l'excl. des ciments Portland blancs, même colorés artificiellement)</v>
      </c>
      <c r="C3955">
        <v>680886</v>
      </c>
      <c r="D3955">
        <v>1</v>
      </c>
    </row>
    <row r="3956" spans="1:4" x14ac:dyDescent="0.25">
      <c r="A3956" t="str">
        <f>T("   252390")</f>
        <v xml:space="preserve">   252390</v>
      </c>
      <c r="B3956" t="str">
        <f>T("   Ciments, même colorés (à l'excl. des ciments Portland et des ciments alumineux)")</f>
        <v xml:space="preserve">   Ciments, même colorés (à l'excl. des ciments Portland et des ciments alumineux)</v>
      </c>
      <c r="C3956">
        <v>239645091</v>
      </c>
      <c r="D3956">
        <v>2486366</v>
      </c>
    </row>
    <row r="3957" spans="1:4" x14ac:dyDescent="0.25">
      <c r="A3957" t="str">
        <f>T("   252620")</f>
        <v xml:space="preserve">   252620</v>
      </c>
      <c r="B3957" t="str">
        <f>T("   Stéatite naturelle, broyée ou pulvérisée")</f>
        <v xml:space="preserve">   Stéatite naturelle, broyée ou pulvérisée</v>
      </c>
      <c r="C3957">
        <v>8727550</v>
      </c>
      <c r="D3957">
        <v>37531</v>
      </c>
    </row>
    <row r="3958" spans="1:4" x14ac:dyDescent="0.25">
      <c r="A3958" t="str">
        <f>T("   253090")</f>
        <v xml:space="preserve">   253090</v>
      </c>
      <c r="B3958" t="str">
        <f>T("   Sulfures d'arsenic, alunite, terre de pouzzolane, terres colorantes et autres matières minérales, n.d.a.")</f>
        <v xml:space="preserve">   Sulfures d'arsenic, alunite, terre de pouzzolane, terres colorantes et autres matières minérales, n.d.a.</v>
      </c>
      <c r="C3958">
        <v>7375719</v>
      </c>
      <c r="D3958">
        <v>21900</v>
      </c>
    </row>
    <row r="3959" spans="1:4" x14ac:dyDescent="0.25">
      <c r="A3959" t="str">
        <f>T("   270300")</f>
        <v xml:space="preserve">   270300</v>
      </c>
      <c r="B3959" t="str">
        <f>T("   Tourbe, y.c. la tourbe pour litière, même agglomérée")</f>
        <v xml:space="preserve">   Tourbe, y.c. la tourbe pour litière, même agglomérée</v>
      </c>
      <c r="C3959">
        <v>134590</v>
      </c>
      <c r="D3959">
        <v>225</v>
      </c>
    </row>
    <row r="3960" spans="1:4" x14ac:dyDescent="0.25">
      <c r="A3960" t="str">
        <f>T("   270750")</f>
        <v xml:space="preserve">   270750</v>
      </c>
      <c r="B3960" t="str">
        <f>T("   MÉLANGES D'HYDROCARBURES AROMATIQUES DISTILLANT &gt;= 65% DE LEUR VOLUME, Y.C. LES PERTES, À 250°C D'APRÈS LA MÉTHODE ASTM D 86 (À L'EXCL. DES PRODUITS DE CONSTITUTION CHIMIQUE DÉFINIE)")</f>
        <v xml:space="preserve">   MÉLANGES D'HYDROCARBURES AROMATIQUES DISTILLANT &gt;= 65% DE LEUR VOLUME, Y.C. LES PERTES, À 250°C D'APRÈS LA MÉTHODE ASTM D 86 (À L'EXCL. DES PRODUITS DE CONSTITUTION CHIMIQUE DÉFINIE)</v>
      </c>
      <c r="C3960">
        <v>31408675</v>
      </c>
      <c r="D3960">
        <v>30539</v>
      </c>
    </row>
    <row r="3961" spans="1:4" x14ac:dyDescent="0.25">
      <c r="A3961" t="str">
        <f>T("   271011")</f>
        <v xml:space="preserve">   271011</v>
      </c>
      <c r="B3961"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3961">
        <v>54562838</v>
      </c>
      <c r="D3961">
        <v>90836</v>
      </c>
    </row>
    <row r="3962" spans="1:4" x14ac:dyDescent="0.25">
      <c r="A3962" t="str">
        <f>T("   271019")</f>
        <v xml:space="preserve">   271019</v>
      </c>
      <c r="B3962" t="str">
        <f>T("   Huiles moyennes et préparations, de pétrole ou de minéraux bitumineux, n.d.a.")</f>
        <v xml:space="preserve">   Huiles moyennes et préparations, de pétrole ou de minéraux bitumineux, n.d.a.</v>
      </c>
      <c r="C3962">
        <v>2203462701</v>
      </c>
      <c r="D3962">
        <v>6103492.5</v>
      </c>
    </row>
    <row r="3963" spans="1:4" x14ac:dyDescent="0.25">
      <c r="A3963" t="str">
        <f>T("   271099")</f>
        <v xml:space="preserve">   271099</v>
      </c>
      <c r="B3963" t="str">
        <f>T("   Déchets d'huiles contenant principalement des huiles de pétrole ou de minéraux bitumineux (à l'excl. des celles contenant des diphényles polychlorés [PCB], des terphényles polychlorés [PCT] ou des diphényles polybromés [PBB])")</f>
        <v xml:space="preserve">   Déchets d'huiles contenant principalement des huiles de pétrole ou de minéraux bitumineux (à l'excl. des celles contenant des diphényles polychlorés [PCB], des terphényles polychlorés [PCT] ou des diphényles polybromés [PBB])</v>
      </c>
      <c r="C3963">
        <v>21002528</v>
      </c>
      <c r="D3963">
        <v>17945</v>
      </c>
    </row>
    <row r="3964" spans="1:4" x14ac:dyDescent="0.25">
      <c r="A3964" t="str">
        <f>T("   271112")</f>
        <v xml:space="preserve">   271112</v>
      </c>
      <c r="B3964" t="str">
        <f>T("   Propane, liquéfié")</f>
        <v xml:space="preserve">   Propane, liquéfié</v>
      </c>
      <c r="C3964">
        <v>3189278</v>
      </c>
      <c r="D3964">
        <v>1722</v>
      </c>
    </row>
    <row r="3965" spans="1:4" x14ac:dyDescent="0.25">
      <c r="A3965" t="str">
        <f>T("   271220")</f>
        <v xml:space="preserve">   271220</v>
      </c>
      <c r="B3965" t="str">
        <f>T("   Paraffine contenant en poids &lt; 0,75% d'huile")</f>
        <v xml:space="preserve">   Paraffine contenant en poids &lt; 0,75% d'huile</v>
      </c>
      <c r="C3965">
        <v>59692</v>
      </c>
      <c r="D3965">
        <v>6</v>
      </c>
    </row>
    <row r="3966" spans="1:4" x14ac:dyDescent="0.25">
      <c r="A3966" t="str">
        <f>T("   271320")</f>
        <v xml:space="preserve">   271320</v>
      </c>
      <c r="B3966" t="str">
        <f>T("   Bitume de pétrole")</f>
        <v xml:space="preserve">   Bitume de pétrole</v>
      </c>
      <c r="C3966">
        <v>35933490</v>
      </c>
      <c r="D3966">
        <v>69063</v>
      </c>
    </row>
    <row r="3967" spans="1:4" x14ac:dyDescent="0.25">
      <c r="A3967" t="str">
        <f>T("   271490")</f>
        <v xml:space="preserve">   271490</v>
      </c>
      <c r="B3967" t="str">
        <f>T("   Bitumes et asphaltes, naturels; asphaltites et roches asphaltiques")</f>
        <v xml:space="preserve">   Bitumes et asphaltes, naturels; asphaltites et roches asphaltiques</v>
      </c>
      <c r="C3967">
        <v>9573080</v>
      </c>
      <c r="D3967">
        <v>58568</v>
      </c>
    </row>
    <row r="3968" spans="1:4" x14ac:dyDescent="0.25">
      <c r="A3968" t="str">
        <f>T("   271500")</f>
        <v xml:space="preserve">   271500</v>
      </c>
      <c r="B3968"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3968">
        <v>60425559</v>
      </c>
      <c r="D3968">
        <v>94230.43</v>
      </c>
    </row>
    <row r="3969" spans="1:4" x14ac:dyDescent="0.25">
      <c r="A3969" t="str">
        <f>T("   280110")</f>
        <v xml:space="preserve">   280110</v>
      </c>
      <c r="B3969" t="str">
        <f>T("   Chlore")</f>
        <v xml:space="preserve">   Chlore</v>
      </c>
      <c r="C3969">
        <v>10134583</v>
      </c>
      <c r="D3969">
        <v>3985</v>
      </c>
    </row>
    <row r="3970" spans="1:4" x14ac:dyDescent="0.25">
      <c r="A3970" t="str">
        <f>T("   280300")</f>
        <v xml:space="preserve">   280300</v>
      </c>
      <c r="B3970" t="str">
        <f>T("   Carbone [noirs de carbone et autres formes de carbone, n.d.a.]")</f>
        <v xml:space="preserve">   Carbone [noirs de carbone et autres formes de carbone, n.d.a.]</v>
      </c>
      <c r="C3970">
        <v>3290295</v>
      </c>
      <c r="D3970">
        <v>400</v>
      </c>
    </row>
    <row r="3971" spans="1:4" x14ac:dyDescent="0.25">
      <c r="A3971" t="str">
        <f>T("   280421")</f>
        <v xml:space="preserve">   280421</v>
      </c>
      <c r="B3971" t="str">
        <f>T("   Argon")</f>
        <v xml:space="preserve">   Argon</v>
      </c>
      <c r="C3971">
        <v>193508</v>
      </c>
      <c r="D3971">
        <v>104</v>
      </c>
    </row>
    <row r="3972" spans="1:4" x14ac:dyDescent="0.25">
      <c r="A3972" t="str">
        <f>T("   280429")</f>
        <v xml:space="preserve">   280429</v>
      </c>
      <c r="B3972" t="str">
        <f>T("   Gaz rares (à l'excl. de l'argon)")</f>
        <v xml:space="preserve">   Gaz rares (à l'excl. de l'argon)</v>
      </c>
      <c r="C3972">
        <v>545759</v>
      </c>
      <c r="D3972">
        <v>295</v>
      </c>
    </row>
    <row r="3973" spans="1:4" x14ac:dyDescent="0.25">
      <c r="A3973" t="str">
        <f>T("   280469")</f>
        <v xml:space="preserve">   280469</v>
      </c>
      <c r="B3973" t="str">
        <f>T("   Silicium, contenant en poids &lt; 99,99% de silicium")</f>
        <v xml:space="preserve">   Silicium, contenant en poids &lt; 99,99% de silicium</v>
      </c>
      <c r="C3973">
        <v>11048891</v>
      </c>
      <c r="D3973">
        <v>2885</v>
      </c>
    </row>
    <row r="3974" spans="1:4" x14ac:dyDescent="0.25">
      <c r="A3974" t="str">
        <f>T("   280512")</f>
        <v xml:space="preserve">   280512</v>
      </c>
      <c r="B3974" t="str">
        <f>T("   CALCIUM")</f>
        <v xml:space="preserve">   CALCIUM</v>
      </c>
      <c r="C3974">
        <v>1107260</v>
      </c>
      <c r="D3974">
        <v>400</v>
      </c>
    </row>
    <row r="3975" spans="1:4" x14ac:dyDescent="0.25">
      <c r="A3975" t="str">
        <f>T("   280519")</f>
        <v xml:space="preserve">   280519</v>
      </c>
      <c r="B3975" t="str">
        <f>T("   Métaux alcalins ou alcalino-terreux (à l'excl. du sodium et du calcium)")</f>
        <v xml:space="preserve">   Métaux alcalins ou alcalino-terreux (à l'excl. du sodium et du calcium)</v>
      </c>
      <c r="C3975">
        <v>5297533</v>
      </c>
      <c r="D3975">
        <v>1143</v>
      </c>
    </row>
    <row r="3976" spans="1:4" x14ac:dyDescent="0.25">
      <c r="A3976" t="str">
        <f>T("   280610")</f>
        <v xml:space="preserve">   280610</v>
      </c>
      <c r="B3976" t="str">
        <f>T("   Chlorure d'hydrogène [acide chlorhydrique]")</f>
        <v xml:space="preserve">   Chlorure d'hydrogène [acide chlorhydrique]</v>
      </c>
      <c r="C3976">
        <v>15347962</v>
      </c>
      <c r="D3976">
        <v>47974</v>
      </c>
    </row>
    <row r="3977" spans="1:4" x14ac:dyDescent="0.25">
      <c r="A3977" t="str">
        <f>T("   280700")</f>
        <v xml:space="preserve">   280700</v>
      </c>
      <c r="B3977" t="str">
        <f>T("   Acide sulfurique; oléum")</f>
        <v xml:space="preserve">   Acide sulfurique; oléum</v>
      </c>
      <c r="C3977">
        <v>9920995</v>
      </c>
      <c r="D3977">
        <v>49248</v>
      </c>
    </row>
    <row r="3978" spans="1:4" x14ac:dyDescent="0.25">
      <c r="A3978" t="str">
        <f>T("   280920")</f>
        <v xml:space="preserve">   280920</v>
      </c>
      <c r="B3978" t="str">
        <f>T("   Acide phosphorique; acides polyphosphoriques, de constitution chimique définie ou non")</f>
        <v xml:space="preserve">   Acide phosphorique; acides polyphosphoriques, de constitution chimique définie ou non</v>
      </c>
      <c r="C3978">
        <v>55113779</v>
      </c>
      <c r="D3978">
        <v>12843</v>
      </c>
    </row>
    <row r="3979" spans="1:4" x14ac:dyDescent="0.25">
      <c r="A3979" t="str">
        <f>T("   281420")</f>
        <v xml:space="preserve">   281420</v>
      </c>
      <c r="B3979" t="str">
        <f>T("   Ammoniac en solution aqueuse [ammoniaque]")</f>
        <v xml:space="preserve">   Ammoniac en solution aqueuse [ammoniaque]</v>
      </c>
      <c r="C3979">
        <v>3816375</v>
      </c>
      <c r="D3979">
        <v>2677</v>
      </c>
    </row>
    <row r="3980" spans="1:4" x14ac:dyDescent="0.25">
      <c r="A3980" t="str">
        <f>T("   281511")</f>
        <v xml:space="preserve">   281511</v>
      </c>
      <c r="B3980" t="str">
        <f>T("   Hydroxyde de sodium [soude caustique], solide")</f>
        <v xml:space="preserve">   Hydroxyde de sodium [soude caustique], solide</v>
      </c>
      <c r="C3980">
        <v>234844418</v>
      </c>
      <c r="D3980">
        <v>501022</v>
      </c>
    </row>
    <row r="3981" spans="1:4" x14ac:dyDescent="0.25">
      <c r="A3981" t="str">
        <f>T("   281512")</f>
        <v xml:space="preserve">   281512</v>
      </c>
      <c r="B3981" t="str">
        <f>T("   Hydroxyde de sodium en solution aqueuse [lessive de soude caustique]")</f>
        <v xml:space="preserve">   Hydroxyde de sodium en solution aqueuse [lessive de soude caustique]</v>
      </c>
      <c r="C3981">
        <v>1770043</v>
      </c>
      <c r="D3981">
        <v>894</v>
      </c>
    </row>
    <row r="3982" spans="1:4" x14ac:dyDescent="0.25">
      <c r="A3982" t="str">
        <f>T("   282110")</f>
        <v xml:space="preserve">   282110</v>
      </c>
      <c r="B3982" t="str">
        <f>T("   Oxydes et hydroxydes de fer")</f>
        <v xml:space="preserve">   Oxydes et hydroxydes de fer</v>
      </c>
      <c r="C3982">
        <v>12114270</v>
      </c>
      <c r="D3982">
        <v>11060</v>
      </c>
    </row>
    <row r="3983" spans="1:4" x14ac:dyDescent="0.25">
      <c r="A3983" t="str">
        <f>T("   282300")</f>
        <v xml:space="preserve">   282300</v>
      </c>
      <c r="B3983" t="str">
        <f>T("   Oxydes de titane")</f>
        <v xml:space="preserve">   Oxydes de titane</v>
      </c>
      <c r="C3983">
        <v>83707056</v>
      </c>
      <c r="D3983">
        <v>40003</v>
      </c>
    </row>
    <row r="3984" spans="1:4" x14ac:dyDescent="0.25">
      <c r="A3984" t="str">
        <f>T("   282720")</f>
        <v xml:space="preserve">   282720</v>
      </c>
      <c r="B3984" t="str">
        <f>T("   Chlorure de calcium")</f>
        <v xml:space="preserve">   Chlorure de calcium</v>
      </c>
      <c r="C3984">
        <v>3300792</v>
      </c>
      <c r="D3984">
        <v>3852</v>
      </c>
    </row>
    <row r="3985" spans="1:4" x14ac:dyDescent="0.25">
      <c r="A3985" t="str">
        <f>T("   282739")</f>
        <v xml:space="preserve">   282739</v>
      </c>
      <c r="B3985" t="str">
        <f>T("   CHLORURES (À L'EXCL. DES CHLORURES D'AMMONIUM, DE CALCIUM, DE MAGNÉSIUM, D'ALUMINIUM, DE NICKEL ET DE MERCURE)")</f>
        <v xml:space="preserve">   CHLORURES (À L'EXCL. DES CHLORURES D'AMMONIUM, DE CALCIUM, DE MAGNÉSIUM, D'ALUMINIUM, DE NICKEL ET DE MERCURE)</v>
      </c>
      <c r="C3985">
        <v>1311264</v>
      </c>
      <c r="D3985">
        <v>27</v>
      </c>
    </row>
    <row r="3986" spans="1:4" x14ac:dyDescent="0.25">
      <c r="A3986" t="str">
        <f>T("   282759")</f>
        <v xml:space="preserve">   282759</v>
      </c>
      <c r="B3986" t="str">
        <f>T("   Bromures et oxybromures (à l'excl. des bromures de sodium ou de potassium)")</f>
        <v xml:space="preserve">   Bromures et oxybromures (à l'excl. des bromures de sodium ou de potassium)</v>
      </c>
      <c r="C3986">
        <v>7525796</v>
      </c>
      <c r="D3986">
        <v>29017</v>
      </c>
    </row>
    <row r="3987" spans="1:4" x14ac:dyDescent="0.25">
      <c r="A3987" t="str">
        <f>T("   282890")</f>
        <v xml:space="preserve">   282890</v>
      </c>
      <c r="B3987" t="str">
        <f>T("   Hypochlorites, chlorites et hypobromites (à l'excl. des hypochlorites de calcium)")</f>
        <v xml:space="preserve">   Hypochlorites, chlorites et hypobromites (à l'excl. des hypochlorites de calcium)</v>
      </c>
      <c r="C3987">
        <v>54893481</v>
      </c>
      <c r="D3987">
        <v>123111</v>
      </c>
    </row>
    <row r="3988" spans="1:4" x14ac:dyDescent="0.25">
      <c r="A3988" t="str">
        <f>T("   282990")</f>
        <v xml:space="preserve">   282990</v>
      </c>
      <c r="B3988" t="str">
        <f>T("   PERCHLORATES; BROMATES ET PERBROMATES; IODATES ET PERIODATES (À L'EXCL. DES COMPOSÉS INORGANIQUES OU ORGANIQUES DU MERCURE)")</f>
        <v xml:space="preserve">   PERCHLORATES; BROMATES ET PERBROMATES; IODATES ET PERIODATES (À L'EXCL. DES COMPOSÉS INORGANIQUES OU ORGANIQUES DU MERCURE)</v>
      </c>
      <c r="C3988">
        <v>1129562</v>
      </c>
      <c r="D3988">
        <v>414</v>
      </c>
    </row>
    <row r="3989" spans="1:4" x14ac:dyDescent="0.25">
      <c r="A3989" t="str">
        <f>T("   283220")</f>
        <v xml:space="preserve">   283220</v>
      </c>
      <c r="B3989" t="str">
        <f>T("   Sulfites (autres que de sodium)")</f>
        <v xml:space="preserve">   Sulfites (autres que de sodium)</v>
      </c>
      <c r="C3989">
        <v>102643310</v>
      </c>
      <c r="D3989">
        <v>14469</v>
      </c>
    </row>
    <row r="3990" spans="1:4" x14ac:dyDescent="0.25">
      <c r="A3990" t="str">
        <f>T("   283322")</f>
        <v xml:space="preserve">   283322</v>
      </c>
      <c r="B3990" t="str">
        <f>T("   SULFATE D'ALUMINIUM")</f>
        <v xml:space="preserve">   SULFATE D'ALUMINIUM</v>
      </c>
      <c r="C3990">
        <v>737955</v>
      </c>
      <c r="D3990">
        <v>497</v>
      </c>
    </row>
    <row r="3991" spans="1:4" x14ac:dyDescent="0.25">
      <c r="A3991" t="str">
        <f>T("   283329")</f>
        <v xml:space="preserve">   283329</v>
      </c>
      <c r="B3991" t="str">
        <f>T("   SULFATES (AUTRES QUE DE SODIUM, DE MAGNÉSIUM, D'ALUMINIUM, DE NICKEL, DE CUIVRE, DE BARYUM OU DE MERCURE)")</f>
        <v xml:space="preserve">   SULFATES (AUTRES QUE DE SODIUM, DE MAGNÉSIUM, D'ALUMINIUM, DE NICKEL, DE CUIVRE, DE BARYUM OU DE MERCURE)</v>
      </c>
      <c r="C3991">
        <v>2987242</v>
      </c>
      <c r="D3991">
        <v>820</v>
      </c>
    </row>
    <row r="3992" spans="1:4" x14ac:dyDescent="0.25">
      <c r="A3992" t="str">
        <f>T("   283421")</f>
        <v xml:space="preserve">   283421</v>
      </c>
      <c r="B3992" t="str">
        <f>T("   Nitrate de potassium")</f>
        <v xml:space="preserve">   Nitrate de potassium</v>
      </c>
      <c r="C3992">
        <v>1094797</v>
      </c>
      <c r="D3992">
        <v>672</v>
      </c>
    </row>
    <row r="3993" spans="1:4" x14ac:dyDescent="0.25">
      <c r="A3993" t="str">
        <f>T("   283529")</f>
        <v xml:space="preserve">   283529</v>
      </c>
      <c r="B3993" t="str">
        <f>T("   PHOSPHATES (À L'EXCL. DES PHOSPHATES DE MONOSODIUM, DE DISODIUM, DE POTASSIUM, DE CALCIUM ET DU MERCURE)")</f>
        <v xml:space="preserve">   PHOSPHATES (À L'EXCL. DES PHOSPHATES DE MONOSODIUM, DE DISODIUM, DE POTASSIUM, DE CALCIUM ET DU MERCURE)</v>
      </c>
      <c r="C3993">
        <v>352251</v>
      </c>
      <c r="D3993">
        <v>100</v>
      </c>
    </row>
    <row r="3994" spans="1:4" x14ac:dyDescent="0.25">
      <c r="A3994" t="str">
        <f>T("   283539")</f>
        <v xml:space="preserve">   283539</v>
      </c>
      <c r="B3994" t="str">
        <f>T("   Polyphosphates, de constitution chimique définie ou non (à l'excl. du triphosphate de sodium [tripolyphosphate de sodium])")</f>
        <v xml:space="preserve">   Polyphosphates, de constitution chimique définie ou non (à l'excl. du triphosphate de sodium [tripolyphosphate de sodium])</v>
      </c>
      <c r="C3994">
        <v>8463196</v>
      </c>
      <c r="D3994">
        <v>3935</v>
      </c>
    </row>
    <row r="3995" spans="1:4" x14ac:dyDescent="0.25">
      <c r="A3995" t="str">
        <f>T("   283620")</f>
        <v xml:space="preserve">   283620</v>
      </c>
      <c r="B3995" t="str">
        <f>T("   Carbonate de disodium")</f>
        <v xml:space="preserve">   Carbonate de disodium</v>
      </c>
      <c r="C3995">
        <v>2459850</v>
      </c>
      <c r="D3995">
        <v>54</v>
      </c>
    </row>
    <row r="3996" spans="1:4" x14ac:dyDescent="0.25">
      <c r="A3996" t="str">
        <f>T("   283630")</f>
        <v xml:space="preserve">   283630</v>
      </c>
      <c r="B3996" t="str">
        <f>T("   Hydrogénocarbonate [bicarbonate] de sodium")</f>
        <v xml:space="preserve">   Hydrogénocarbonate [bicarbonate] de sodium</v>
      </c>
      <c r="C3996">
        <v>938023</v>
      </c>
      <c r="D3996">
        <v>72</v>
      </c>
    </row>
    <row r="3997" spans="1:4" x14ac:dyDescent="0.25">
      <c r="A3997" t="str">
        <f>T("   283650")</f>
        <v xml:space="preserve">   283650</v>
      </c>
      <c r="B3997" t="str">
        <f>T("   Carbonate de calcium")</f>
        <v xml:space="preserve">   Carbonate de calcium</v>
      </c>
      <c r="C3997">
        <v>96776957</v>
      </c>
      <c r="D3997">
        <v>778093</v>
      </c>
    </row>
    <row r="3998" spans="1:4" x14ac:dyDescent="0.25">
      <c r="A3998" t="str">
        <f>T("   283670")</f>
        <v xml:space="preserve">   283670</v>
      </c>
      <c r="B3998" t="str">
        <f>T("   Carbonates de plomb")</f>
        <v xml:space="preserve">   Carbonates de plomb</v>
      </c>
      <c r="C3998">
        <v>1475254</v>
      </c>
      <c r="D3998">
        <v>400</v>
      </c>
    </row>
    <row r="3999" spans="1:4" x14ac:dyDescent="0.25">
      <c r="A3999" t="str">
        <f>T("   283699")</f>
        <v xml:space="preserve">   283699</v>
      </c>
      <c r="B3999" t="s">
        <v>69</v>
      </c>
      <c r="C3999">
        <v>1088894</v>
      </c>
      <c r="D3999">
        <v>51</v>
      </c>
    </row>
    <row r="4000" spans="1:4" x14ac:dyDescent="0.25">
      <c r="A4000" t="str">
        <f>T("   284329")</f>
        <v xml:space="preserve">   284329</v>
      </c>
      <c r="B4000" t="str">
        <f>T("   Composés d'argent, inorganiques ou organiques, de constitution chimique définie ou non (à l'excl. du nitrate d'argent)")</f>
        <v xml:space="preserve">   Composés d'argent, inorganiques ou organiques, de constitution chimique définie ou non (à l'excl. du nitrate d'argent)</v>
      </c>
      <c r="C4000">
        <v>1660235</v>
      </c>
      <c r="D4000">
        <v>40</v>
      </c>
    </row>
    <row r="4001" spans="1:4" x14ac:dyDescent="0.25">
      <c r="A4001" t="str">
        <f>T("   284700")</f>
        <v xml:space="preserve">   284700</v>
      </c>
      <c r="B4001" t="str">
        <f>T("   Peroxyde d'hydrogène [eau oxygénée], même solidifié avec de l'urée")</f>
        <v xml:space="preserve">   Peroxyde d'hydrogène [eau oxygénée], même solidifié avec de l'urée</v>
      </c>
      <c r="C4001">
        <v>1684507</v>
      </c>
      <c r="D4001">
        <v>305</v>
      </c>
    </row>
    <row r="4002" spans="1:4" x14ac:dyDescent="0.25">
      <c r="A4002" t="str">
        <f>T("   285000")</f>
        <v xml:space="preserve">   285000</v>
      </c>
      <c r="B4002" t="str">
        <f>T("   Hydrures, nitrures, azotures, siliciures et borures, de constitution chimique définie ou non (à l'excl. des composés qui constituent également des carbures du n° 2849)")</f>
        <v xml:space="preserve">   Hydrures, nitrures, azotures, siliciures et borures, de constitution chimique définie ou non (à l'excl. des composés qui constituent également des carbures du n° 2849)</v>
      </c>
      <c r="C4002">
        <v>744653</v>
      </c>
      <c r="D4002">
        <v>115</v>
      </c>
    </row>
    <row r="4003" spans="1:4" x14ac:dyDescent="0.25">
      <c r="A4003" t="str">
        <f>T("   290110")</f>
        <v xml:space="preserve">   290110</v>
      </c>
      <c r="B4003" t="str">
        <f>T("   Hydrocarbures acycliques, saturés")</f>
        <v xml:space="preserve">   Hydrocarbures acycliques, saturés</v>
      </c>
      <c r="C4003">
        <v>2087921</v>
      </c>
      <c r="D4003">
        <v>292</v>
      </c>
    </row>
    <row r="4004" spans="1:4" x14ac:dyDescent="0.25">
      <c r="A4004" t="str">
        <f>T("   290230")</f>
        <v xml:space="preserve">   290230</v>
      </c>
      <c r="B4004" t="str">
        <f>T("   Toluène")</f>
        <v xml:space="preserve">   Toluène</v>
      </c>
      <c r="C4004">
        <v>21930711</v>
      </c>
      <c r="D4004">
        <v>14318</v>
      </c>
    </row>
    <row r="4005" spans="1:4" x14ac:dyDescent="0.25">
      <c r="A4005" t="str">
        <f>T("   290290")</f>
        <v xml:space="preserve">   290290</v>
      </c>
      <c r="B4005" t="str">
        <f>T("   Hydrocarbures cycliques (à l'excl. des hydrocarbures cyclaniques, cycléniques ou cycloterpéniques, du benzène, du toluène, des xylènes, du styrène, de l'éthylbenzène et du cumène)")</f>
        <v xml:space="preserve">   Hydrocarbures cycliques (à l'excl. des hydrocarbures cyclaniques, cycléniques ou cycloterpéniques, du benzène, du toluène, des xylènes, du styrène, de l'éthylbenzène et du cumène)</v>
      </c>
      <c r="C4005">
        <v>12346480</v>
      </c>
      <c r="D4005">
        <v>14430</v>
      </c>
    </row>
    <row r="4006" spans="1:4" x14ac:dyDescent="0.25">
      <c r="A4006" t="str">
        <f>T("   290312")</f>
        <v xml:space="preserve">   290312</v>
      </c>
      <c r="B4006" t="str">
        <f>T("   Dichlorométhane [chlorure de méthylène]")</f>
        <v xml:space="preserve">   Dichlorométhane [chlorure de méthylène]</v>
      </c>
      <c r="C4006">
        <v>11651535</v>
      </c>
      <c r="D4006">
        <v>22640</v>
      </c>
    </row>
    <row r="4007" spans="1:4" x14ac:dyDescent="0.25">
      <c r="A4007" t="str">
        <f>T("   290323")</f>
        <v xml:space="preserve">   290323</v>
      </c>
      <c r="B4007" t="str">
        <f>T("   Tétrachloroéthylène [perchloroéthylène]")</f>
        <v xml:space="preserve">   Tétrachloroéthylène [perchloroéthylène]</v>
      </c>
      <c r="C4007">
        <v>2286677</v>
      </c>
      <c r="D4007">
        <v>1200</v>
      </c>
    </row>
    <row r="4008" spans="1:4" x14ac:dyDescent="0.25">
      <c r="A4008" t="str">
        <f>T("   290490")</f>
        <v xml:space="preserve">   290490</v>
      </c>
      <c r="B4008" t="str">
        <f>T("   Dérivés sulfonés, nitrés ou nitrosés des hydrocarbures, même halogénés (à l'excl. des dérivés seulement sulfonés, seulement nitrés ou seulement nitrosés)")</f>
        <v xml:space="preserve">   Dérivés sulfonés, nitrés ou nitrosés des hydrocarbures, même halogénés (à l'excl. des dérivés seulement sulfonés, seulement nitrés ou seulement nitrosés)</v>
      </c>
      <c r="C4008">
        <v>392264</v>
      </c>
      <c r="D4008">
        <v>12</v>
      </c>
    </row>
    <row r="4009" spans="1:4" x14ac:dyDescent="0.25">
      <c r="A4009" t="str">
        <f>T("   290512")</f>
        <v xml:space="preserve">   290512</v>
      </c>
      <c r="B4009" t="str">
        <f>T("   Propane-1-ol [alcool propylique] et propane-2-ol [alcool isopropylique]")</f>
        <v xml:space="preserve">   Propane-1-ol [alcool propylique] et propane-2-ol [alcool isopropylique]</v>
      </c>
      <c r="C4009">
        <v>823230</v>
      </c>
      <c r="D4009">
        <v>729</v>
      </c>
    </row>
    <row r="4010" spans="1:4" x14ac:dyDescent="0.25">
      <c r="A4010" t="str">
        <f>T("   290519")</f>
        <v xml:space="preserve">   290519</v>
      </c>
      <c r="B4010" t="s">
        <v>70</v>
      </c>
      <c r="C4010">
        <v>740579</v>
      </c>
      <c r="D4010">
        <v>245</v>
      </c>
    </row>
    <row r="4011" spans="1:4" x14ac:dyDescent="0.25">
      <c r="A4011" t="str">
        <f>T("   290531")</f>
        <v xml:space="preserve">   290531</v>
      </c>
      <c r="B4011" t="str">
        <f>T("   ÉTHYLÈNE GLYCOL [ÉTHANEDIOL]")</f>
        <v xml:space="preserve">   ÉTHYLÈNE GLYCOL [ÉTHANEDIOL]</v>
      </c>
      <c r="C4011">
        <v>1222054</v>
      </c>
      <c r="D4011">
        <v>892</v>
      </c>
    </row>
    <row r="4012" spans="1:4" x14ac:dyDescent="0.25">
      <c r="A4012" t="str">
        <f>T("   290532")</f>
        <v xml:space="preserve">   290532</v>
      </c>
      <c r="B4012" t="str">
        <f>T("   Propylène glycol [propane-1,2-diol]")</f>
        <v xml:space="preserve">   Propylène glycol [propane-1,2-diol]</v>
      </c>
      <c r="C4012">
        <v>47604328</v>
      </c>
      <c r="D4012">
        <v>4642</v>
      </c>
    </row>
    <row r="4013" spans="1:4" x14ac:dyDescent="0.25">
      <c r="A4013" t="str">
        <f>T("   290542")</f>
        <v xml:space="preserve">   290542</v>
      </c>
      <c r="B4013" t="str">
        <f>T("   PENTAÉRYÈRITOL [PENTAÉRYÈRITE]")</f>
        <v xml:space="preserve">   PENTAÉRYÈRITOL [PENTAÉRYÈRITE]</v>
      </c>
      <c r="C4013">
        <v>1287650</v>
      </c>
      <c r="D4013">
        <v>380</v>
      </c>
    </row>
    <row r="4014" spans="1:4" x14ac:dyDescent="0.25">
      <c r="A4014" t="str">
        <f>T("   290715")</f>
        <v xml:space="preserve">   290715</v>
      </c>
      <c r="B4014" t="str">
        <f>T("   Naphtols et leurs sels")</f>
        <v xml:space="preserve">   Naphtols et leurs sels</v>
      </c>
      <c r="C4014">
        <v>472947</v>
      </c>
      <c r="D4014">
        <v>4</v>
      </c>
    </row>
    <row r="4015" spans="1:4" x14ac:dyDescent="0.25">
      <c r="A4015" t="str">
        <f>T("   290722")</f>
        <v xml:space="preserve">   290722</v>
      </c>
      <c r="B4015" t="str">
        <f>T("   Hydroquinone et ses sels")</f>
        <v xml:space="preserve">   Hydroquinone et ses sels</v>
      </c>
      <c r="C4015">
        <v>168608</v>
      </c>
      <c r="D4015">
        <v>1</v>
      </c>
    </row>
    <row r="4016" spans="1:4" x14ac:dyDescent="0.25">
      <c r="A4016" t="str">
        <f>T("   290890")</f>
        <v xml:space="preserve">   290890</v>
      </c>
      <c r="B4016" t="str">
        <f>T("   Dérivés halogénés, sulfonés, nitrés ou nitrosés des phénols ou des phénols-alcools (à l'excl. des dérivés seulement halogénés et leurs sels ainsi que des dérivés seulement sulfonés, leurs sels et leurs esters)")</f>
        <v xml:space="preserve">   Dérivés halogénés, sulfonés, nitrés ou nitrosés des phénols ou des phénols-alcools (à l'excl. des dérivés seulement halogénés et leurs sels ainsi que des dérivés seulement sulfonés, leurs sels et leurs esters)</v>
      </c>
      <c r="C4016">
        <v>1473286</v>
      </c>
      <c r="D4016">
        <v>200</v>
      </c>
    </row>
    <row r="4017" spans="1:4" x14ac:dyDescent="0.25">
      <c r="A4017" t="str">
        <f>T("   290911")</f>
        <v xml:space="preserve">   290911</v>
      </c>
      <c r="B4017" t="str">
        <f>T("   Ether diéthylique [oxyde de diéthyle]")</f>
        <v xml:space="preserve">   Ether diéthylique [oxyde de diéthyle]</v>
      </c>
      <c r="C4017">
        <v>14341257</v>
      </c>
      <c r="D4017">
        <v>1551</v>
      </c>
    </row>
    <row r="4018" spans="1:4" x14ac:dyDescent="0.25">
      <c r="A4018" t="str">
        <f>T("   290943")</f>
        <v xml:space="preserve">   290943</v>
      </c>
      <c r="B4018" t="str">
        <f>T("   Ethers monobutyliques de l'éthylène-glycol ou du diéthylène-glycol")</f>
        <v xml:space="preserve">   Ethers monobutyliques de l'éthylène-glycol ou du diéthylène-glycol</v>
      </c>
      <c r="C4018">
        <v>1004275</v>
      </c>
      <c r="D4018">
        <v>889</v>
      </c>
    </row>
    <row r="4019" spans="1:4" x14ac:dyDescent="0.25">
      <c r="A4019" t="str">
        <f>T("   290949")</f>
        <v xml:space="preserve">   290949</v>
      </c>
      <c r="B4019" t="str">
        <f>T("   ÉTHERS-ALCOOLS ET LEURS DÉRIVÉS HALOGÉNÉS, SULFONÉS, NITRÉS OU NITROSÉS (À L'EXCL. DU 2,2'-OXYDIÉTHANOL [DIÉTHYLÈNE-GLYCOL] AINSI QUE DES ÉTHERS MONOALKYLIQUES DE L'ÉTHYLÈNE-GLYCOL OU DU DIÉTHYLÈNE-GLYCOL)")</f>
        <v xml:space="preserve">   ÉTHERS-ALCOOLS ET LEURS DÉRIVÉS HALOGÉNÉS, SULFONÉS, NITRÉS OU NITROSÉS (À L'EXCL. DU 2,2'-OXYDIÉTHANOL [DIÉTHYLÈNE-GLYCOL] AINSI QUE DES ÉTHERS MONOALKYLIQUES DE L'ÉTHYLÈNE-GLYCOL OU DU DIÉTHYLÈNE-GLYCOL)</v>
      </c>
      <c r="C4019">
        <v>455236</v>
      </c>
      <c r="D4019">
        <v>86</v>
      </c>
    </row>
    <row r="4020" spans="1:4" x14ac:dyDescent="0.25">
      <c r="A4020" t="str">
        <f>T("   291211")</f>
        <v xml:space="preserve">   291211</v>
      </c>
      <c r="B4020" t="str">
        <f>T("   Méthanal [formaldéhyde]")</f>
        <v xml:space="preserve">   Méthanal [formaldéhyde]</v>
      </c>
      <c r="C4020">
        <v>4145012</v>
      </c>
      <c r="D4020">
        <v>1273</v>
      </c>
    </row>
    <row r="4021" spans="1:4" x14ac:dyDescent="0.25">
      <c r="A4021" t="str">
        <f>T("   291413")</f>
        <v xml:space="preserve">   291413</v>
      </c>
      <c r="B4021" t="str">
        <f>T("   4-Méthylpentane-2-one [méthylisobutylcétone]")</f>
        <v xml:space="preserve">   4-Méthylpentane-2-one [méthylisobutylcétone]</v>
      </c>
      <c r="C4021">
        <v>13736460</v>
      </c>
      <c r="D4021">
        <v>15090</v>
      </c>
    </row>
    <row r="4022" spans="1:4" x14ac:dyDescent="0.25">
      <c r="A4022" t="str">
        <f>T("   291440")</f>
        <v xml:space="preserve">   291440</v>
      </c>
      <c r="B4022" t="str">
        <f>T("   Cétones-alcools et cétones-aldéhydes")</f>
        <v xml:space="preserve">   Cétones-alcools et cétones-aldéhydes</v>
      </c>
      <c r="C4022">
        <v>2007894</v>
      </c>
      <c r="D4022">
        <v>1778</v>
      </c>
    </row>
    <row r="4023" spans="1:4" x14ac:dyDescent="0.25">
      <c r="A4023" t="str">
        <f>T("   291521")</f>
        <v xml:space="preserve">   291521</v>
      </c>
      <c r="B4023" t="str">
        <f>T("   Acide acétique")</f>
        <v xml:space="preserve">   Acide acétique</v>
      </c>
      <c r="C4023">
        <v>2804198</v>
      </c>
      <c r="D4023">
        <v>10107</v>
      </c>
    </row>
    <row r="4024" spans="1:4" x14ac:dyDescent="0.25">
      <c r="A4024" t="str">
        <f>T("   291539")</f>
        <v xml:space="preserve">   291539</v>
      </c>
      <c r="B4024" t="str">
        <f>T("   Esters de l'acide acétique (à l'excl. des acétates d'éthyle, de vinyle, de n-butyle, d'isobutyle et de 2-éthoxyéthyle)")</f>
        <v xml:space="preserve">   Esters de l'acide acétique (à l'excl. des acétates d'éthyle, de vinyle, de n-butyle, d'isobutyle et de 2-éthoxyéthyle)</v>
      </c>
      <c r="C4024">
        <v>12307121</v>
      </c>
      <c r="D4024">
        <v>10172</v>
      </c>
    </row>
    <row r="4025" spans="1:4" x14ac:dyDescent="0.25">
      <c r="A4025" t="str">
        <f>T("   291570")</f>
        <v xml:space="preserve">   291570</v>
      </c>
      <c r="B4025" t="str">
        <f>T("   Acide palmitique, acide stéarique, leurs sels et leurs esters")</f>
        <v xml:space="preserve">   Acide palmitique, acide stéarique, leurs sels et leurs esters</v>
      </c>
      <c r="C4025">
        <v>596923</v>
      </c>
      <c r="D4025">
        <v>200</v>
      </c>
    </row>
    <row r="4026" spans="1:4" x14ac:dyDescent="0.25">
      <c r="A4026" t="str">
        <f>T("   291590")</f>
        <v xml:space="preserve">   291590</v>
      </c>
      <c r="B4026" t="s">
        <v>71</v>
      </c>
      <c r="C4026">
        <v>978692</v>
      </c>
      <c r="D4026">
        <v>221</v>
      </c>
    </row>
    <row r="4027" spans="1:4" x14ac:dyDescent="0.25">
      <c r="A4027" t="str">
        <f>T("   291614")</f>
        <v xml:space="preserve">   291614</v>
      </c>
      <c r="B4027" t="str">
        <f>T("   Esters de l'acide méthacrylique")</f>
        <v xml:space="preserve">   Esters de l'acide méthacrylique</v>
      </c>
      <c r="C4027">
        <v>747794</v>
      </c>
      <c r="D4027">
        <v>80</v>
      </c>
    </row>
    <row r="4028" spans="1:4" x14ac:dyDescent="0.25">
      <c r="A4028" t="str">
        <f>T("   291631")</f>
        <v xml:space="preserve">   291631</v>
      </c>
      <c r="B4028" t="str">
        <f>T("   Acide benzoïque, ses sels et ses esters")</f>
        <v xml:space="preserve">   Acide benzoïque, ses sels et ses esters</v>
      </c>
      <c r="C4028">
        <v>1104637</v>
      </c>
      <c r="D4028">
        <v>453</v>
      </c>
    </row>
    <row r="4029" spans="1:4" x14ac:dyDescent="0.25">
      <c r="A4029" t="str">
        <f>T("   291814")</f>
        <v xml:space="preserve">   291814</v>
      </c>
      <c r="B4029" t="str">
        <f>T("   Acide citrique")</f>
        <v xml:space="preserve">   Acide citrique</v>
      </c>
      <c r="C4029">
        <v>171071247</v>
      </c>
      <c r="D4029">
        <v>51589</v>
      </c>
    </row>
    <row r="4030" spans="1:4" x14ac:dyDescent="0.25">
      <c r="A4030" t="str">
        <f>T("   291819")</f>
        <v xml:space="preserve">   291819</v>
      </c>
      <c r="B4030" t="s">
        <v>72</v>
      </c>
      <c r="C4030">
        <v>501291</v>
      </c>
      <c r="D4030">
        <v>280</v>
      </c>
    </row>
    <row r="4031" spans="1:4" x14ac:dyDescent="0.25">
      <c r="A4031" t="str">
        <f>T("   292219")</f>
        <v xml:space="preserve">   292219</v>
      </c>
      <c r="B4031" t="str">
        <f>T("   Amino-alcools, leurs éthers et leurs esters; sels de ces produits (sauf ceux à fonctions oxygénées différentes et à l'excl. de la monoéthanolamine, de la diéthanolamine, de la triéthanolamine, du dextropropoxyphène ainsi que des sels de ces produits)")</f>
        <v xml:space="preserve">   Amino-alcools, leurs éthers et leurs esters; sels de ces produits (sauf ceux à fonctions oxygénées différentes et à l'excl. de la monoéthanolamine, de la diéthanolamine, de la triéthanolamine, du dextropropoxyphène ainsi que des sels de ces produits)</v>
      </c>
      <c r="C4031">
        <v>5987297</v>
      </c>
      <c r="D4031">
        <v>3423</v>
      </c>
    </row>
    <row r="4032" spans="1:4" x14ac:dyDescent="0.25">
      <c r="A4032" t="str">
        <f>T("   292249")</f>
        <v xml:space="preserve">   292249</v>
      </c>
      <c r="B4032" t="str">
        <f>T("   Amino-acides et leurs esters; sels de ces produits (à l'excl. des amino-acides à fonctions oxygénées différentes ainsi que de la lysine et de ses esters, leurs sels, de l'acide glutamique, de l'acide anthranilique et du tilidine [DCI] et leurs sels)")</f>
        <v xml:space="preserve">   Amino-acides et leurs esters; sels de ces produits (à l'excl. des amino-acides à fonctions oxygénées différentes ainsi que de la lysine et de ses esters, leurs sels, de l'acide glutamique, de l'acide anthranilique et du tilidine [DCI] et leurs sels)</v>
      </c>
      <c r="C4032">
        <v>430310</v>
      </c>
      <c r="D4032">
        <v>60</v>
      </c>
    </row>
    <row r="4033" spans="1:4" x14ac:dyDescent="0.25">
      <c r="A4033" t="str">
        <f>T("   292320")</f>
        <v xml:space="preserve">   292320</v>
      </c>
      <c r="B4033" t="str">
        <f>T("   Lécithines et autres phosphoaminolipides, de constitution chimique définie ou non")</f>
        <v xml:space="preserve">   Lécithines et autres phosphoaminolipides, de constitution chimique définie ou non</v>
      </c>
      <c r="C4033">
        <v>3412305</v>
      </c>
      <c r="D4033">
        <v>3880</v>
      </c>
    </row>
    <row r="4034" spans="1:4" x14ac:dyDescent="0.25">
      <c r="A4034" t="str">
        <f>T("   292800")</f>
        <v xml:space="preserve">   292800</v>
      </c>
      <c r="B4034" t="str">
        <f>T("   Dérivés organiques de l'hydrazine ou de l'hydroxylamine")</f>
        <v xml:space="preserve">   Dérivés organiques de l'hydrazine ou de l'hydroxylamine</v>
      </c>
      <c r="C4034">
        <v>2892128</v>
      </c>
      <c r="D4034">
        <v>1362</v>
      </c>
    </row>
    <row r="4035" spans="1:4" x14ac:dyDescent="0.25">
      <c r="A4035" t="str">
        <f>T("   292910")</f>
        <v xml:space="preserve">   292910</v>
      </c>
      <c r="B4035" t="str">
        <f>T("   Isocyanates")</f>
        <v xml:space="preserve">   Isocyanates</v>
      </c>
      <c r="C4035">
        <v>382231659</v>
      </c>
      <c r="D4035">
        <v>307302</v>
      </c>
    </row>
    <row r="4036" spans="1:4" x14ac:dyDescent="0.25">
      <c r="A4036" t="str">
        <f>T("   293369")</f>
        <v xml:space="preserve">   293369</v>
      </c>
      <c r="B4036" t="str">
        <f>T("   COMPOSÉS HÉTÉROCYCLIQUES À HÉTÉROATOME[S] D'AZOTE EXCLUSIVEMENT, DONT LA STRUCTURE COMPORTE UN CYCLE TRIAZINE, HYDROGÉNÉ OU NON, NON-CONDENSÉ (À L'EXCL. DE LA MÉLAMINE)")</f>
        <v xml:space="preserve">   COMPOSÉS HÉTÉROCYCLIQUES À HÉTÉROATOME[S] D'AZOTE EXCLUSIVEMENT, DONT LA STRUCTURE COMPORTE UN CYCLE TRIAZINE, HYDROGÉNÉ OU NON, NON-CONDENSÉ (À L'EXCL. DE LA MÉLAMINE)</v>
      </c>
      <c r="C4036">
        <v>887042</v>
      </c>
      <c r="D4036">
        <v>3384.62</v>
      </c>
    </row>
    <row r="4037" spans="1:4" x14ac:dyDescent="0.25">
      <c r="A4037" t="str">
        <f>T("   293499")</f>
        <v xml:space="preserve">   293499</v>
      </c>
      <c r="B4037" t="s">
        <v>73</v>
      </c>
      <c r="C4037">
        <v>26511024</v>
      </c>
      <c r="D4037">
        <v>1837</v>
      </c>
    </row>
    <row r="4038" spans="1:4" x14ac:dyDescent="0.25">
      <c r="A4038" t="str">
        <f>T("   293627")</f>
        <v xml:space="preserve">   293627</v>
      </c>
      <c r="B4038" t="str">
        <f>T("   Vitamine C et ses dérivés utilisés principalement en tant que vitamines")</f>
        <v xml:space="preserve">   Vitamine C et ses dérivés utilisés principalement en tant que vitamines</v>
      </c>
      <c r="C4038">
        <v>58515534</v>
      </c>
      <c r="D4038">
        <v>7958</v>
      </c>
    </row>
    <row r="4039" spans="1:4" x14ac:dyDescent="0.25">
      <c r="A4039" t="str">
        <f>T("   293690")</f>
        <v xml:space="preserve">   293690</v>
      </c>
      <c r="B4039" t="str">
        <f>T("   Mélanges de provitamines ou de vitamines, même en solutions quelconques, et concentrats naturels de vitamines")</f>
        <v xml:space="preserve">   Mélanges de provitamines ou de vitamines, même en solutions quelconques, et concentrats naturels de vitamines</v>
      </c>
      <c r="C4039">
        <v>341100</v>
      </c>
      <c r="D4039">
        <v>30</v>
      </c>
    </row>
    <row r="4040" spans="1:4" x14ac:dyDescent="0.25">
      <c r="A4040" t="str">
        <f>T("   294200")</f>
        <v xml:space="preserve">   294200</v>
      </c>
      <c r="B4040" t="str">
        <f>T("   Composés organiques de constitution chimique définie présentés isolément, n.d.a.")</f>
        <v xml:space="preserve">   Composés organiques de constitution chimique définie présentés isolément, n.d.a.</v>
      </c>
      <c r="C4040">
        <v>1074463</v>
      </c>
      <c r="D4040">
        <v>1023</v>
      </c>
    </row>
    <row r="4041" spans="1:4" x14ac:dyDescent="0.25">
      <c r="A4041" t="str">
        <f>T("   300210")</f>
        <v xml:space="preserve">   300210</v>
      </c>
      <c r="B4041" t="str">
        <f>T("   Antisérums, autres fractions du sang, produits immunologiques modifiés, même obtenus par voie biotechnologique")</f>
        <v xml:space="preserve">   Antisérums, autres fractions du sang, produits immunologiques modifiés, même obtenus par voie biotechnologique</v>
      </c>
      <c r="C4041">
        <v>13123466</v>
      </c>
      <c r="D4041">
        <v>162.6</v>
      </c>
    </row>
    <row r="4042" spans="1:4" x14ac:dyDescent="0.25">
      <c r="A4042" t="str">
        <f>T("   300220")</f>
        <v xml:space="preserve">   300220</v>
      </c>
      <c r="B4042" t="str">
        <f>T("   Vaccins pour la médecine humaine")</f>
        <v xml:space="preserve">   Vaccins pour la médecine humaine</v>
      </c>
      <c r="C4042">
        <v>1476542116</v>
      </c>
      <c r="D4042">
        <v>11792</v>
      </c>
    </row>
    <row r="4043" spans="1:4" x14ac:dyDescent="0.25">
      <c r="A4043" t="str">
        <f>T("   300230")</f>
        <v xml:space="preserve">   300230</v>
      </c>
      <c r="B4043" t="str">
        <f>T("   Vaccins pour la médecine vétérinaire")</f>
        <v xml:space="preserve">   Vaccins pour la médecine vétérinaire</v>
      </c>
      <c r="C4043">
        <v>10796287</v>
      </c>
      <c r="D4043">
        <v>437</v>
      </c>
    </row>
    <row r="4044" spans="1:4" x14ac:dyDescent="0.25">
      <c r="A4044" t="str">
        <f>T("   300290")</f>
        <v xml:space="preserve">   300290</v>
      </c>
      <c r="B4044" t="str">
        <f>T("   Sang humain; sang animal préparé en vue d'usages thérapeutiques, prophylactiques ou de diagnostic; toxines, cultures de micro-organismes et produits simil. (à l'excl. des levures et des vaccins)")</f>
        <v xml:space="preserve">   Sang humain; sang animal préparé en vue d'usages thérapeutiques, prophylactiques ou de diagnostic; toxines, cultures de micro-organismes et produits simil. (à l'excl. des levures et des vaccins)</v>
      </c>
      <c r="C4044">
        <v>7147380</v>
      </c>
      <c r="D4044">
        <v>169</v>
      </c>
    </row>
    <row r="4045" spans="1:4" x14ac:dyDescent="0.25">
      <c r="A4045" t="str">
        <f>T("   300390")</f>
        <v xml:space="preserve">   300390</v>
      </c>
      <c r="B4045" t="s">
        <v>74</v>
      </c>
      <c r="C4045">
        <v>658945</v>
      </c>
      <c r="D4045">
        <v>342</v>
      </c>
    </row>
    <row r="4046" spans="1:4" x14ac:dyDescent="0.25">
      <c r="A4046" t="str">
        <f>T("   300410")</f>
        <v xml:space="preserve">   300410</v>
      </c>
      <c r="B4046" t="s">
        <v>75</v>
      </c>
      <c r="C4046">
        <v>8265134049</v>
      </c>
      <c r="D4046">
        <v>799391</v>
      </c>
    </row>
    <row r="4047" spans="1:4" x14ac:dyDescent="0.25">
      <c r="A4047" t="str">
        <f>T("   300420")</f>
        <v xml:space="preserve">   300420</v>
      </c>
      <c r="B4047" t="s">
        <v>76</v>
      </c>
      <c r="C4047">
        <v>160710</v>
      </c>
      <c r="D4047">
        <v>22</v>
      </c>
    </row>
    <row r="4048" spans="1:4" x14ac:dyDescent="0.25">
      <c r="A4048" t="str">
        <f>T("   300439")</f>
        <v xml:space="preserve">   300439</v>
      </c>
      <c r="B4048" t="s">
        <v>77</v>
      </c>
      <c r="C4048">
        <v>4982422</v>
      </c>
      <c r="D4048">
        <v>4274</v>
      </c>
    </row>
    <row r="4049" spans="1:4" x14ac:dyDescent="0.25">
      <c r="A4049" t="str">
        <f>T("   300450")</f>
        <v xml:space="preserve">   300450</v>
      </c>
      <c r="B4049" t="s">
        <v>78</v>
      </c>
      <c r="C4049">
        <v>45612127</v>
      </c>
      <c r="D4049">
        <v>51057</v>
      </c>
    </row>
    <row r="4050" spans="1:4" x14ac:dyDescent="0.25">
      <c r="A4050" t="str">
        <f>T("   300490")</f>
        <v xml:space="preserve">   300490</v>
      </c>
      <c r="B4050" t="s">
        <v>79</v>
      </c>
      <c r="C4050">
        <v>18116203439</v>
      </c>
      <c r="D4050">
        <v>1630441.21</v>
      </c>
    </row>
    <row r="4051" spans="1:4" x14ac:dyDescent="0.25">
      <c r="A4051" t="str">
        <f>T("   300510")</f>
        <v xml:space="preserve">   300510</v>
      </c>
      <c r="B4051"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4051">
        <v>229760405</v>
      </c>
      <c r="D4051">
        <v>46894</v>
      </c>
    </row>
    <row r="4052" spans="1:4" x14ac:dyDescent="0.25">
      <c r="A4052" t="str">
        <f>T("   300590")</f>
        <v xml:space="preserve">   300590</v>
      </c>
      <c r="B4052" t="s">
        <v>80</v>
      </c>
      <c r="C4052">
        <v>190466039</v>
      </c>
      <c r="D4052">
        <v>37480.6</v>
      </c>
    </row>
    <row r="4053" spans="1:4" x14ac:dyDescent="0.25">
      <c r="A4053" t="str">
        <f>T("   300610")</f>
        <v xml:space="preserve">   300610</v>
      </c>
      <c r="B4053" t="s">
        <v>81</v>
      </c>
      <c r="C4053">
        <v>11443879</v>
      </c>
      <c r="D4053">
        <v>881</v>
      </c>
    </row>
    <row r="4054" spans="1:4" x14ac:dyDescent="0.25">
      <c r="A4054" t="str">
        <f>T("   300620")</f>
        <v xml:space="preserve">   300620</v>
      </c>
      <c r="B4054" t="str">
        <f>T("   Réactifs destinés à la détermination des groupes ou des facteurs sanguins")</f>
        <v xml:space="preserve">   Réactifs destinés à la détermination des groupes ou des facteurs sanguins</v>
      </c>
      <c r="C4054">
        <v>21783858</v>
      </c>
      <c r="D4054">
        <v>1385</v>
      </c>
    </row>
    <row r="4055" spans="1:4" x14ac:dyDescent="0.25">
      <c r="A4055" t="str">
        <f>T("   300630")</f>
        <v xml:space="preserve">   300630</v>
      </c>
      <c r="B4055" t="str">
        <f>T("   Préparations opacifiantes pour examens radiographiques; réactifs de diagnostic conçus pour être employés sur le patient")</f>
        <v xml:space="preserve">   Préparations opacifiantes pour examens radiographiques; réactifs de diagnostic conçus pour être employés sur le patient</v>
      </c>
      <c r="C4055">
        <v>485050</v>
      </c>
      <c r="D4055">
        <v>71</v>
      </c>
    </row>
    <row r="4056" spans="1:4" x14ac:dyDescent="0.25">
      <c r="A4056" t="str">
        <f>T("   300670")</f>
        <v xml:space="preserve">   300670</v>
      </c>
      <c r="B4056" t="s">
        <v>82</v>
      </c>
      <c r="C4056">
        <v>1084433</v>
      </c>
      <c r="D4056">
        <v>535</v>
      </c>
    </row>
    <row r="4057" spans="1:4" x14ac:dyDescent="0.25">
      <c r="A4057" t="str">
        <f>T("   310210")</f>
        <v xml:space="preserve">   310210</v>
      </c>
      <c r="B4057" t="str">
        <f>T("   Urée, même en solution aqueuse (à l'excl. des produits présentés soit en tablettes ou formes simil., soit en emballages d'un poids brut &lt;= 10 kg)")</f>
        <v xml:space="preserve">   Urée, même en solution aqueuse (à l'excl. des produits présentés soit en tablettes ou formes simil., soit en emballages d'un poids brut &lt;= 10 kg)</v>
      </c>
      <c r="C4057">
        <v>20045166</v>
      </c>
      <c r="D4057">
        <v>77540</v>
      </c>
    </row>
    <row r="4058" spans="1:4" x14ac:dyDescent="0.25">
      <c r="A4058" t="str">
        <f>T("   310229")</f>
        <v xml:space="preserve">   310229</v>
      </c>
      <c r="B4058" t="str">
        <f>T("   Sels doubles et mélanges de sulfate d'ammonium et de nitrate d'ammonium (à l'excl. des produits présentés soit en tablettes ou formes simil., soit en emballages d'un poids brut &lt;= 10 kg)")</f>
        <v xml:space="preserve">   Sels doubles et mélanges de sulfate d'ammonium et de nitrate d'ammonium (à l'excl. des produits présentés soit en tablettes ou formes simil., soit en emballages d'un poids brut &lt;= 10 kg)</v>
      </c>
      <c r="C4058">
        <v>751074</v>
      </c>
      <c r="D4058">
        <v>238</v>
      </c>
    </row>
    <row r="4059" spans="1:4" x14ac:dyDescent="0.25">
      <c r="A4059" t="str">
        <f>T("   310230")</f>
        <v xml:space="preserve">   310230</v>
      </c>
      <c r="B4059" t="str">
        <f>T("   Nitrate d'ammonium, même en solution aqueuse (à l'excl. des produits présentés soit en tablettes ou formes simil., soit en emballages d'un poids brut &lt;= 10 kg)")</f>
        <v xml:space="preserve">   Nitrate d'ammonium, même en solution aqueuse (à l'excl. des produits présentés soit en tablettes ou formes simil., soit en emballages d'un poids brut &lt;= 10 kg)</v>
      </c>
      <c r="C4059">
        <v>44952434</v>
      </c>
      <c r="D4059">
        <v>117429</v>
      </c>
    </row>
    <row r="4060" spans="1:4" x14ac:dyDescent="0.25">
      <c r="A4060" t="str">
        <f>T("   310590")</f>
        <v xml:space="preserve">   310590</v>
      </c>
      <c r="B4060" t="s">
        <v>83</v>
      </c>
      <c r="C4060">
        <v>1702216</v>
      </c>
      <c r="D4060">
        <v>438</v>
      </c>
    </row>
    <row r="4061" spans="1:4" x14ac:dyDescent="0.25">
      <c r="A4061" t="str">
        <f>T("   320190")</f>
        <v xml:space="preserve">   320190</v>
      </c>
      <c r="B4061" t="str">
        <f>T("   Extraits tannants d'origine végétale (à l'excl. des extraits de quebracho ou de mimosa); tanins et leur sels, éthers, esters et autres dérivés")</f>
        <v xml:space="preserve">   Extraits tannants d'origine végétale (à l'excl. des extraits de quebracho ou de mimosa); tanins et leur sels, éthers, esters et autres dérivés</v>
      </c>
      <c r="C4061">
        <v>540511</v>
      </c>
      <c r="D4061">
        <v>76</v>
      </c>
    </row>
    <row r="4062" spans="1:4" x14ac:dyDescent="0.25">
      <c r="A4062" t="str">
        <f>T("   320300")</f>
        <v xml:space="preserve">   320300</v>
      </c>
      <c r="B4062" t="s">
        <v>84</v>
      </c>
      <c r="C4062">
        <v>7406446</v>
      </c>
      <c r="D4062">
        <v>3294</v>
      </c>
    </row>
    <row r="4063" spans="1:4" x14ac:dyDescent="0.25">
      <c r="A4063" t="str">
        <f>T("   320411")</f>
        <v xml:space="preserve">   320411</v>
      </c>
      <c r="B4063" t="s">
        <v>85</v>
      </c>
      <c r="C4063">
        <v>2762248</v>
      </c>
      <c r="D4063">
        <v>260</v>
      </c>
    </row>
    <row r="4064" spans="1:4" x14ac:dyDescent="0.25">
      <c r="A4064" t="str">
        <f>T("   320413")</f>
        <v xml:space="preserve">   320413</v>
      </c>
      <c r="B4064" t="s">
        <v>86</v>
      </c>
      <c r="C4064">
        <v>88200399</v>
      </c>
      <c r="D4064">
        <v>14099</v>
      </c>
    </row>
    <row r="4065" spans="1:4" x14ac:dyDescent="0.25">
      <c r="A4065" t="str">
        <f>T("   320417")</f>
        <v xml:space="preserve">   320417</v>
      </c>
      <c r="B4065" t="s">
        <v>87</v>
      </c>
      <c r="C4065">
        <v>30975745</v>
      </c>
      <c r="D4065">
        <v>3432</v>
      </c>
    </row>
    <row r="4066" spans="1:4" x14ac:dyDescent="0.25">
      <c r="A4066" t="str">
        <f>T("   320419")</f>
        <v xml:space="preserve">   320419</v>
      </c>
      <c r="B4066" t="s">
        <v>88</v>
      </c>
      <c r="C4066">
        <v>1174824</v>
      </c>
      <c r="D4066">
        <v>50</v>
      </c>
    </row>
    <row r="4067" spans="1:4" x14ac:dyDescent="0.25">
      <c r="A4067" t="str">
        <f>T("   320490")</f>
        <v xml:space="preserve">   320490</v>
      </c>
      <c r="B4067" t="str">
        <f>T("   Produits organiques synthétiques des types utilisés comme luminophores, même de constitution chimique définie")</f>
        <v xml:space="preserve">   Produits organiques synthétiques des types utilisés comme luminophores, même de constitution chimique définie</v>
      </c>
      <c r="C4067">
        <v>5650440</v>
      </c>
      <c r="D4067">
        <v>297</v>
      </c>
    </row>
    <row r="4068" spans="1:4" x14ac:dyDescent="0.25">
      <c r="A4068" t="str">
        <f>T("   320611")</f>
        <v xml:space="preserve">   320611</v>
      </c>
      <c r="B4068" t="s">
        <v>90</v>
      </c>
      <c r="C4068">
        <v>126785076</v>
      </c>
      <c r="D4068">
        <v>95858</v>
      </c>
    </row>
    <row r="4069" spans="1:4" x14ac:dyDescent="0.25">
      <c r="A4069" t="str">
        <f>T("   320620")</f>
        <v xml:space="preserve">   320620</v>
      </c>
      <c r="B4069" t="s">
        <v>91</v>
      </c>
      <c r="C4069">
        <v>3405744</v>
      </c>
      <c r="D4069">
        <v>1000</v>
      </c>
    </row>
    <row r="4070" spans="1:4" x14ac:dyDescent="0.25">
      <c r="A4070" t="str">
        <f>T("   320810")</f>
        <v xml:space="preserve">   320810</v>
      </c>
      <c r="B4070" t="str">
        <f>T("   PEINTURES ET VERNIS À BASE DE POLYESTERS, DISPERSÉS OU DISSOUS DANS UN MILIEU NON-AQUEUX, ET PRODUITS À BASE DE POLYESTERS EN SOLUTION DANS DES SOLVANTS ORGANIQUES VOLATILS, POUR AUTANT QUE LA PROPORTION DU SOLVANT &gt; 50% DU POIDS DE LA SOLUTION")</f>
        <v xml:space="preserve">   PEINTURES ET VERNIS À BASE DE POLYESTERS, DISPERSÉS OU DISSOUS DANS UN MILIEU NON-AQUEUX, ET PRODUITS À BASE DE POLYESTERS EN SOLUTION DANS DES SOLVANTS ORGANIQUES VOLATILS, POUR AUTANT QUE LA PROPORTION DU SOLVANT &gt; 50% DU POIDS DE LA SOLUTION</v>
      </c>
      <c r="C4070">
        <v>35585829</v>
      </c>
      <c r="D4070">
        <v>24055</v>
      </c>
    </row>
    <row r="4071" spans="1:4" x14ac:dyDescent="0.25">
      <c r="A4071" t="str">
        <f>T("   320890")</f>
        <v xml:space="preserve">   320890</v>
      </c>
      <c r="B4071" t="s">
        <v>93</v>
      </c>
      <c r="C4071">
        <v>10111713</v>
      </c>
      <c r="D4071">
        <v>5143</v>
      </c>
    </row>
    <row r="4072" spans="1:4" x14ac:dyDescent="0.25">
      <c r="A4072" t="str">
        <f>T("   320910")</f>
        <v xml:space="preserve">   320910</v>
      </c>
      <c r="B4072" t="str">
        <f>T("   Peintures et vernis à base de polymères acryliques ou vinyliques, dispersés ou dissous dans un milieu aqueux")</f>
        <v xml:space="preserve">   Peintures et vernis à base de polymères acryliques ou vinyliques, dispersés ou dissous dans un milieu aqueux</v>
      </c>
      <c r="C4072">
        <v>1224677</v>
      </c>
      <c r="D4072">
        <v>3395</v>
      </c>
    </row>
    <row r="4073" spans="1:4" x14ac:dyDescent="0.25">
      <c r="A4073" t="str">
        <f>T("   320990")</f>
        <v xml:space="preserve">   320990</v>
      </c>
      <c r="B4073"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4073">
        <v>5904952</v>
      </c>
      <c r="D4073">
        <v>21611</v>
      </c>
    </row>
    <row r="4074" spans="1:4" x14ac:dyDescent="0.25">
      <c r="A4074" t="str">
        <f>T("   321000")</f>
        <v xml:space="preserve">   321000</v>
      </c>
      <c r="B4074"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4074">
        <v>270905</v>
      </c>
      <c r="D4074">
        <v>203</v>
      </c>
    </row>
    <row r="4075" spans="1:4" x14ac:dyDescent="0.25">
      <c r="A4075" t="str">
        <f>T("   321100")</f>
        <v xml:space="preserve">   321100</v>
      </c>
      <c r="B4075" t="str">
        <f>T("   Siccatifs préparés")</f>
        <v xml:space="preserve">   Siccatifs préparés</v>
      </c>
      <c r="C4075">
        <v>17710266</v>
      </c>
      <c r="D4075">
        <v>6910</v>
      </c>
    </row>
    <row r="4076" spans="1:4" x14ac:dyDescent="0.25">
      <c r="A4076" t="str">
        <f>T("   321290")</f>
        <v xml:space="preserve">   321290</v>
      </c>
      <c r="B4076" t="s">
        <v>94</v>
      </c>
      <c r="C4076">
        <v>4579913</v>
      </c>
      <c r="D4076">
        <v>1922</v>
      </c>
    </row>
    <row r="4077" spans="1:4" x14ac:dyDescent="0.25">
      <c r="A4077" t="str">
        <f>T("   321410")</f>
        <v xml:space="preserve">   321410</v>
      </c>
      <c r="B4077" t="str">
        <f>T("   Mastic de vitrier, ciments de résine et autres mastics; enduits utilisés en peinture")</f>
        <v xml:space="preserve">   Mastic de vitrier, ciments de résine et autres mastics; enduits utilisés en peinture</v>
      </c>
      <c r="C4077">
        <v>19309081</v>
      </c>
      <c r="D4077">
        <v>22401</v>
      </c>
    </row>
    <row r="4078" spans="1:4" x14ac:dyDescent="0.25">
      <c r="A4078" t="str">
        <f>T("   321490")</f>
        <v xml:space="preserve">   321490</v>
      </c>
      <c r="B4078" t="str">
        <f>T("   Enduits non réfractaires des types utilisés en maçonnerie")</f>
        <v xml:space="preserve">   Enduits non réfractaires des types utilisés en maçonnerie</v>
      </c>
      <c r="C4078">
        <v>5364081</v>
      </c>
      <c r="D4078">
        <v>1067.77</v>
      </c>
    </row>
    <row r="4079" spans="1:4" x14ac:dyDescent="0.25">
      <c r="A4079" t="str">
        <f>T("   321511")</f>
        <v xml:space="preserve">   321511</v>
      </c>
      <c r="B4079" t="str">
        <f>T("   Encres d'imprimerie, noires, même concentrées ou sous formes solides")</f>
        <v xml:space="preserve">   Encres d'imprimerie, noires, même concentrées ou sous formes solides</v>
      </c>
      <c r="C4079">
        <v>22128300</v>
      </c>
      <c r="D4079">
        <v>5424</v>
      </c>
    </row>
    <row r="4080" spans="1:4" x14ac:dyDescent="0.25">
      <c r="A4080" t="str">
        <f>T("   321519")</f>
        <v xml:space="preserve">   321519</v>
      </c>
      <c r="B4080" t="str">
        <f>T("   Encres d'imprimerie, même concentrées ou sous formes solides (à l'excl. des encres noires)")</f>
        <v xml:space="preserve">   Encres d'imprimerie, même concentrées ou sous formes solides (à l'excl. des encres noires)</v>
      </c>
      <c r="C4080">
        <v>29152863</v>
      </c>
      <c r="D4080">
        <v>14560</v>
      </c>
    </row>
    <row r="4081" spans="1:4" x14ac:dyDescent="0.25">
      <c r="A4081" t="str">
        <f>T("   321590")</f>
        <v xml:space="preserve">   321590</v>
      </c>
      <c r="B4081" t="str">
        <f>T("   Encres à écrire et à dessiner, même concentrées ou sous formes solides")</f>
        <v xml:space="preserve">   Encres à écrire et à dessiner, même concentrées ou sous formes solides</v>
      </c>
      <c r="C4081">
        <v>9783983</v>
      </c>
      <c r="D4081">
        <v>6804</v>
      </c>
    </row>
    <row r="4082" spans="1:4" x14ac:dyDescent="0.25">
      <c r="A4082" t="str">
        <f>T("   330111")</f>
        <v xml:space="preserve">   330111</v>
      </c>
      <c r="B4082" t="str">
        <f>T("   Huiles essentielles de bergamote, déterpénées ou non, y.c. celles dites 'concrètes' ou 'absolues'")</f>
        <v xml:space="preserve">   Huiles essentielles de bergamote, déterpénées ou non, y.c. celles dites 'concrètes' ou 'absolues'</v>
      </c>
      <c r="C4082">
        <v>1407649</v>
      </c>
      <c r="D4082">
        <v>18</v>
      </c>
    </row>
    <row r="4083" spans="1:4" x14ac:dyDescent="0.25">
      <c r="A4083" t="str">
        <f>T("   330119")</f>
        <v xml:space="preserve">   330119</v>
      </c>
      <c r="B4083" t="str">
        <f>T("   HUILES ESSENTIELLES D'AGRUMES, DÉTERPÉNÉES OU NON, Y.C. CELLES DITES 'CONCRÈTES' OU 'ABSOLUES' (À L'EXCL. DES HUILES ESSENTIELLES D'ORANGE, DE CITRONOU DE LIME)")</f>
        <v xml:space="preserve">   HUILES ESSENTIELLES D'AGRUMES, DÉTERPÉNÉES OU NON, Y.C. CELLES DITES 'CONCRÈTES' OU 'ABSOLUES' (À L'EXCL. DES HUILES ESSENTIELLES D'ORANGE, DE CITRONOU DE LIME)</v>
      </c>
      <c r="C4083">
        <v>400000</v>
      </c>
      <c r="D4083">
        <v>383</v>
      </c>
    </row>
    <row r="4084" spans="1:4" x14ac:dyDescent="0.25">
      <c r="A4084" t="str">
        <f>T("   330210")</f>
        <v xml:space="preserve">   330210</v>
      </c>
      <c r="B4084"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4084">
        <v>1236497504</v>
      </c>
      <c r="D4084">
        <v>282901</v>
      </c>
    </row>
    <row r="4085" spans="1:4" x14ac:dyDescent="0.25">
      <c r="A4085" t="str">
        <f>T("   330290")</f>
        <v xml:space="preserve">   330290</v>
      </c>
      <c r="B4085" t="s">
        <v>96</v>
      </c>
      <c r="C4085">
        <v>514273</v>
      </c>
      <c r="D4085">
        <v>115</v>
      </c>
    </row>
    <row r="4086" spans="1:4" x14ac:dyDescent="0.25">
      <c r="A4086" t="str">
        <f>T("   330300")</f>
        <v xml:space="preserve">   330300</v>
      </c>
      <c r="B4086"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4086">
        <v>320623513</v>
      </c>
      <c r="D4086">
        <v>62943</v>
      </c>
    </row>
    <row r="4087" spans="1:4" x14ac:dyDescent="0.25">
      <c r="A4087" t="str">
        <f>T("   330410")</f>
        <v xml:space="preserve">   330410</v>
      </c>
      <c r="B4087" t="str">
        <f>T("   Produits de maquillage pour les lèvres")</f>
        <v xml:space="preserve">   Produits de maquillage pour les lèvres</v>
      </c>
      <c r="C4087">
        <v>8960389</v>
      </c>
      <c r="D4087">
        <v>4795</v>
      </c>
    </row>
    <row r="4088" spans="1:4" x14ac:dyDescent="0.25">
      <c r="A4088" t="str">
        <f>T("   330420")</f>
        <v xml:space="preserve">   330420</v>
      </c>
      <c r="B4088" t="str">
        <f>T("   Produits de maquillage pour les yeux")</f>
        <v xml:space="preserve">   Produits de maquillage pour les yeux</v>
      </c>
      <c r="C4088">
        <v>1977787</v>
      </c>
      <c r="D4088">
        <v>393</v>
      </c>
    </row>
    <row r="4089" spans="1:4" x14ac:dyDescent="0.25">
      <c r="A4089" t="str">
        <f>T("   330430")</f>
        <v xml:space="preserve">   330430</v>
      </c>
      <c r="B4089" t="str">
        <f>T("   Préparations pour manucures ou pédicures")</f>
        <v xml:space="preserve">   Préparations pour manucures ou pédicures</v>
      </c>
      <c r="C4089">
        <v>486400</v>
      </c>
      <c r="D4089">
        <v>241</v>
      </c>
    </row>
    <row r="4090" spans="1:4" x14ac:dyDescent="0.25">
      <c r="A4090" t="str">
        <f>T("   330491")</f>
        <v xml:space="preserve">   330491</v>
      </c>
      <c r="B4090"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4090">
        <v>3614996</v>
      </c>
      <c r="D4090">
        <v>380</v>
      </c>
    </row>
    <row r="4091" spans="1:4" x14ac:dyDescent="0.25">
      <c r="A4091" t="str">
        <f>T("   330499")</f>
        <v xml:space="preserve">   330499</v>
      </c>
      <c r="B4091" t="s">
        <v>97</v>
      </c>
      <c r="C4091">
        <v>343049580</v>
      </c>
      <c r="D4091">
        <v>108714.75</v>
      </c>
    </row>
    <row r="4092" spans="1:4" x14ac:dyDescent="0.25">
      <c r="A4092" t="str">
        <f>T("   330510")</f>
        <v xml:space="preserve">   330510</v>
      </c>
      <c r="B4092" t="str">
        <f>T("   Shampooings")</f>
        <v xml:space="preserve">   Shampooings</v>
      </c>
      <c r="C4092">
        <v>17252876</v>
      </c>
      <c r="D4092">
        <v>6664</v>
      </c>
    </row>
    <row r="4093" spans="1:4" x14ac:dyDescent="0.25">
      <c r="A4093" t="str">
        <f>T("   330530")</f>
        <v xml:space="preserve">   330530</v>
      </c>
      <c r="B4093" t="str">
        <f>T("   Laques pour cheveux")</f>
        <v xml:space="preserve">   Laques pour cheveux</v>
      </c>
      <c r="C4093">
        <v>444741</v>
      </c>
      <c r="D4093">
        <v>809</v>
      </c>
    </row>
    <row r="4094" spans="1:4" x14ac:dyDescent="0.25">
      <c r="A4094" t="str">
        <f>T("   330590")</f>
        <v xml:space="preserve">   330590</v>
      </c>
      <c r="B4094"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4094">
        <v>38531126</v>
      </c>
      <c r="D4094">
        <v>21878</v>
      </c>
    </row>
    <row r="4095" spans="1:4" x14ac:dyDescent="0.25">
      <c r="A4095" t="str">
        <f>T("   330610")</f>
        <v xml:space="preserve">   330610</v>
      </c>
      <c r="B4095" t="str">
        <f>T("   Dentifrices, préparés, même des types utilisés par les dentistes")</f>
        <v xml:space="preserve">   Dentifrices, préparés, même des types utilisés par les dentistes</v>
      </c>
      <c r="C4095">
        <v>507292211</v>
      </c>
      <c r="D4095">
        <v>114666</v>
      </c>
    </row>
    <row r="4096" spans="1:4" x14ac:dyDescent="0.25">
      <c r="A4096" t="str">
        <f>T("   330690")</f>
        <v xml:space="preserve">   330690</v>
      </c>
      <c r="B4096"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4096">
        <v>2953132</v>
      </c>
      <c r="D4096">
        <v>235</v>
      </c>
    </row>
    <row r="4097" spans="1:4" x14ac:dyDescent="0.25">
      <c r="A4097" t="str">
        <f>T("   330720")</f>
        <v xml:space="preserve">   330720</v>
      </c>
      <c r="B4097" t="str">
        <f>T("   Désodorisants corporels et antisudoraux, préparés")</f>
        <v xml:space="preserve">   Désodorisants corporels et antisudoraux, préparés</v>
      </c>
      <c r="C4097">
        <v>183773446</v>
      </c>
      <c r="D4097">
        <v>66374</v>
      </c>
    </row>
    <row r="4098" spans="1:4" x14ac:dyDescent="0.25">
      <c r="A4098" t="str">
        <f>T("   330730")</f>
        <v xml:space="preserve">   330730</v>
      </c>
      <c r="B4098" t="str">
        <f>T("   Sels parfumés et autres préparations pour bains")</f>
        <v xml:space="preserve">   Sels parfumés et autres préparations pour bains</v>
      </c>
      <c r="C4098">
        <v>105610</v>
      </c>
      <c r="D4098">
        <v>191</v>
      </c>
    </row>
    <row r="4099" spans="1:4" x14ac:dyDescent="0.25">
      <c r="A4099" t="str">
        <f>T("   330749")</f>
        <v xml:space="preserve">   330749</v>
      </c>
      <c r="B4099"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4099">
        <v>49855388</v>
      </c>
      <c r="D4099">
        <v>32240</v>
      </c>
    </row>
    <row r="4100" spans="1:4" x14ac:dyDescent="0.25">
      <c r="A4100" t="str">
        <f>T("   330790")</f>
        <v xml:space="preserve">   330790</v>
      </c>
      <c r="B4100" t="str">
        <f>T("   Dépilatoires, autres produits de parfumerie ou de toilette préparés et autres préparations cosmétiques, n.d.a.")</f>
        <v xml:space="preserve">   Dépilatoires, autres produits de parfumerie ou de toilette préparés et autres préparations cosmétiques, n.d.a.</v>
      </c>
      <c r="C4100">
        <v>4897400</v>
      </c>
      <c r="D4100">
        <v>9052</v>
      </c>
    </row>
    <row r="4101" spans="1:4" x14ac:dyDescent="0.25">
      <c r="A4101" t="str">
        <f>T("   340111")</f>
        <v xml:space="preserve">   340111</v>
      </c>
      <c r="B4101" t="s">
        <v>98</v>
      </c>
      <c r="C4101">
        <v>138197178</v>
      </c>
      <c r="D4101">
        <v>47770</v>
      </c>
    </row>
    <row r="4102" spans="1:4" x14ac:dyDescent="0.25">
      <c r="A4102" t="str">
        <f>T("   340119")</f>
        <v xml:space="preserve">   340119</v>
      </c>
      <c r="B4102" t="s">
        <v>99</v>
      </c>
      <c r="C4102">
        <v>43114653</v>
      </c>
      <c r="D4102">
        <v>50295</v>
      </c>
    </row>
    <row r="4103" spans="1:4" x14ac:dyDescent="0.25">
      <c r="A4103" t="str">
        <f>T("   340120")</f>
        <v xml:space="preserve">   340120</v>
      </c>
      <c r="B4103" t="str">
        <f>T("   Savons en flocons, en paillettes, en granulés ou en poudres et savons liquides ou pâteux")</f>
        <v xml:space="preserve">   Savons en flocons, en paillettes, en granulés ou en poudres et savons liquides ou pâteux</v>
      </c>
      <c r="C4103">
        <v>47448079</v>
      </c>
      <c r="D4103">
        <v>12590</v>
      </c>
    </row>
    <row r="4104" spans="1:4" x14ac:dyDescent="0.25">
      <c r="A4104" t="str">
        <f>T("   340130")</f>
        <v xml:space="preserve">   340130</v>
      </c>
      <c r="B4104"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4104">
        <v>33899201</v>
      </c>
      <c r="D4104">
        <v>11197</v>
      </c>
    </row>
    <row r="4105" spans="1:4" x14ac:dyDescent="0.25">
      <c r="A4105" t="str">
        <f>T("   340213")</f>
        <v xml:space="preserve">   340213</v>
      </c>
      <c r="B4105" t="str">
        <f>T("   Agents de surface organiques, non ioniques, même conditionnés pour la vente au détail (à l'excl. des savons)")</f>
        <v xml:space="preserve">   Agents de surface organiques, non ioniques, même conditionnés pour la vente au détail (à l'excl. des savons)</v>
      </c>
      <c r="C4105">
        <v>134472</v>
      </c>
      <c r="D4105">
        <v>12</v>
      </c>
    </row>
    <row r="4106" spans="1:4" x14ac:dyDescent="0.25">
      <c r="A4106" t="str">
        <f>T("   340219")</f>
        <v xml:space="preserve">   340219</v>
      </c>
      <c r="B4106"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4106">
        <v>788214</v>
      </c>
      <c r="D4106">
        <v>1787</v>
      </c>
    </row>
    <row r="4107" spans="1:4" x14ac:dyDescent="0.25">
      <c r="A4107" t="str">
        <f>T("   340220")</f>
        <v xml:space="preserve">   340220</v>
      </c>
      <c r="B4107" t="s">
        <v>100</v>
      </c>
      <c r="C4107">
        <v>234058736</v>
      </c>
      <c r="D4107">
        <v>246124</v>
      </c>
    </row>
    <row r="4108" spans="1:4" x14ac:dyDescent="0.25">
      <c r="A4108" t="str">
        <f>T("   340290")</f>
        <v xml:space="preserve">   340290</v>
      </c>
      <c r="B4108" t="s">
        <v>101</v>
      </c>
      <c r="C4108">
        <v>358328874</v>
      </c>
      <c r="D4108">
        <v>157149</v>
      </c>
    </row>
    <row r="4109" spans="1:4" x14ac:dyDescent="0.25">
      <c r="A4109" t="str">
        <f>T("   340319")</f>
        <v xml:space="preserve">   340319</v>
      </c>
      <c r="B4109" t="s">
        <v>102</v>
      </c>
      <c r="C4109">
        <v>21534591</v>
      </c>
      <c r="D4109">
        <v>2414.9</v>
      </c>
    </row>
    <row r="4110" spans="1:4" x14ac:dyDescent="0.25">
      <c r="A4110" t="str">
        <f>T("   340399")</f>
        <v xml:space="preserve">   340399</v>
      </c>
      <c r="B4110" t="s">
        <v>103</v>
      </c>
      <c r="C4110">
        <v>192433273</v>
      </c>
      <c r="D4110">
        <v>128942</v>
      </c>
    </row>
    <row r="4111" spans="1:4" x14ac:dyDescent="0.25">
      <c r="A4111" t="str">
        <f>T("   340490")</f>
        <v xml:space="preserve">   340490</v>
      </c>
      <c r="B4111" t="s">
        <v>104</v>
      </c>
      <c r="C4111">
        <v>3203053</v>
      </c>
      <c r="D4111">
        <v>513</v>
      </c>
    </row>
    <row r="4112" spans="1:4" x14ac:dyDescent="0.25">
      <c r="A4112" t="str">
        <f>T("   340510")</f>
        <v xml:space="preserve">   340510</v>
      </c>
      <c r="B4112" t="s">
        <v>105</v>
      </c>
      <c r="C4112">
        <v>9166385</v>
      </c>
      <c r="D4112">
        <v>1949</v>
      </c>
    </row>
    <row r="4113" spans="1:4" x14ac:dyDescent="0.25">
      <c r="A4113" t="str">
        <f>T("   340520")</f>
        <v xml:space="preserve">   340520</v>
      </c>
      <c r="B4113" t="s">
        <v>106</v>
      </c>
      <c r="C4113">
        <v>7353313</v>
      </c>
      <c r="D4113">
        <v>2839</v>
      </c>
    </row>
    <row r="4114" spans="1:4" x14ac:dyDescent="0.25">
      <c r="A4114" t="str">
        <f>T("   340530")</f>
        <v xml:space="preserve">   340530</v>
      </c>
      <c r="B4114" t="s">
        <v>107</v>
      </c>
      <c r="C4114">
        <v>5472674</v>
      </c>
      <c r="D4114">
        <v>1670</v>
      </c>
    </row>
    <row r="4115" spans="1:4" x14ac:dyDescent="0.25">
      <c r="A4115" t="str">
        <f>T("   340540")</f>
        <v xml:space="preserve">   340540</v>
      </c>
      <c r="B4115"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4115">
        <v>24429919</v>
      </c>
      <c r="D4115">
        <v>41417</v>
      </c>
    </row>
    <row r="4116" spans="1:4" x14ac:dyDescent="0.25">
      <c r="A4116" t="str">
        <f>T("   340590")</f>
        <v xml:space="preserve">   340590</v>
      </c>
      <c r="B4116"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4116">
        <v>476227</v>
      </c>
      <c r="D4116">
        <v>58</v>
      </c>
    </row>
    <row r="4117" spans="1:4" x14ac:dyDescent="0.25">
      <c r="A4117" t="str">
        <f>T("   340600")</f>
        <v xml:space="preserve">   340600</v>
      </c>
      <c r="B4117" t="str">
        <f>T("   Bougies, chandelles, cierges et articles simil.")</f>
        <v xml:space="preserve">   Bougies, chandelles, cierges et articles simil.</v>
      </c>
      <c r="C4117">
        <v>64727072</v>
      </c>
      <c r="D4117">
        <v>27207</v>
      </c>
    </row>
    <row r="4118" spans="1:4" x14ac:dyDescent="0.25">
      <c r="A4118" t="str">
        <f>T("   340700")</f>
        <v xml:space="preserve">   340700</v>
      </c>
      <c r="B4118" t="s">
        <v>108</v>
      </c>
      <c r="C4118">
        <v>228333</v>
      </c>
      <c r="D4118">
        <v>50</v>
      </c>
    </row>
    <row r="4119" spans="1:4" x14ac:dyDescent="0.25">
      <c r="A4119" t="str">
        <f>T("   350190")</f>
        <v xml:space="preserve">   350190</v>
      </c>
      <c r="B4119" t="str">
        <f>T("   Caséinates et autres dérivés des caséines; colles de caséine (à l'excl. des produits conditionnés pour la vente au détail comme colles et d'un poids net &lt;= 1 kg)")</f>
        <v xml:space="preserve">   Caséinates et autres dérivés des caséines; colles de caséine (à l'excl. des produits conditionnés pour la vente au détail comme colles et d'un poids net &lt;= 1 kg)</v>
      </c>
      <c r="C4119">
        <v>18310467</v>
      </c>
      <c r="D4119">
        <v>6059</v>
      </c>
    </row>
    <row r="4120" spans="1:4" x14ac:dyDescent="0.25">
      <c r="A4120" t="str">
        <f>T("   350510")</f>
        <v xml:space="preserve">   350510</v>
      </c>
      <c r="B4120" t="str">
        <f>T("   DEXTRINE ET AUTRES AMIDONS ET FÉCULES MODIFIÉS [LES AMIDONS ET FÉCULES PRÉ-GÉLATINISÉS OU ESTÉRIFIÉS, P.EX.]")</f>
        <v xml:space="preserve">   DEXTRINE ET AUTRES AMIDONS ET FÉCULES MODIFIÉS [LES AMIDONS ET FÉCULES PRÉ-GÉLATINISÉS OU ESTÉRIFIÉS, P.EX.]</v>
      </c>
      <c r="C4120">
        <v>217780</v>
      </c>
      <c r="D4120">
        <v>26</v>
      </c>
    </row>
    <row r="4121" spans="1:4" x14ac:dyDescent="0.25">
      <c r="A4121" t="str">
        <f>T("   350520")</f>
        <v xml:space="preserve">   350520</v>
      </c>
      <c r="B4121"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4121">
        <v>383212</v>
      </c>
      <c r="D4121">
        <v>13</v>
      </c>
    </row>
    <row r="4122" spans="1:4" x14ac:dyDescent="0.25">
      <c r="A4122" t="str">
        <f>T("   350610")</f>
        <v xml:space="preserve">   350610</v>
      </c>
      <c r="B4122"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4122">
        <v>19027433</v>
      </c>
      <c r="D4122">
        <v>8872</v>
      </c>
    </row>
    <row r="4123" spans="1:4" x14ac:dyDescent="0.25">
      <c r="A4123" t="str">
        <f>T("   350691")</f>
        <v xml:space="preserve">   350691</v>
      </c>
      <c r="B4123"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4123">
        <v>276234361</v>
      </c>
      <c r="D4123">
        <v>106124</v>
      </c>
    </row>
    <row r="4124" spans="1:4" x14ac:dyDescent="0.25">
      <c r="A4124" t="str">
        <f>T("   350699")</f>
        <v xml:space="preserve">   350699</v>
      </c>
      <c r="B4124" t="str">
        <f>T("   Colles et autres adhésifs préparés, n.d.a.")</f>
        <v xml:space="preserve">   Colles et autres adhésifs préparés, n.d.a.</v>
      </c>
      <c r="C4124">
        <v>49515689</v>
      </c>
      <c r="D4124">
        <v>15894</v>
      </c>
    </row>
    <row r="4125" spans="1:4" x14ac:dyDescent="0.25">
      <c r="A4125" t="str">
        <f>T("   350710")</f>
        <v xml:space="preserve">   350710</v>
      </c>
      <c r="B4125" t="str">
        <f>T("   Présure et ses concentrats")</f>
        <v xml:space="preserve">   Présure et ses concentrats</v>
      </c>
      <c r="C4125">
        <v>2375087</v>
      </c>
      <c r="D4125">
        <v>10</v>
      </c>
    </row>
    <row r="4126" spans="1:4" x14ac:dyDescent="0.25">
      <c r="A4126" t="str">
        <f>T("   350790")</f>
        <v xml:space="preserve">   350790</v>
      </c>
      <c r="B4126" t="str">
        <f>T("   Enzymes et enzymes préparées, n.d.a. (à l'excl. de la présure et de ses concentrats)")</f>
        <v xml:space="preserve">   Enzymes et enzymes préparées, n.d.a. (à l'excl. de la présure et de ses concentrats)</v>
      </c>
      <c r="C4126">
        <v>169651354</v>
      </c>
      <c r="D4126">
        <v>14570</v>
      </c>
    </row>
    <row r="4127" spans="1:4" x14ac:dyDescent="0.25">
      <c r="A4127" t="str">
        <f>T("   360200")</f>
        <v xml:space="preserve">   360200</v>
      </c>
      <c r="B4127" t="str">
        <f>T("   Explosifs préparés (à l'excl. des poudres propulsives)")</f>
        <v xml:space="preserve">   Explosifs préparés (à l'excl. des poudres propulsives)</v>
      </c>
      <c r="C4127">
        <v>97997308</v>
      </c>
      <c r="D4127">
        <v>82554</v>
      </c>
    </row>
    <row r="4128" spans="1:4" x14ac:dyDescent="0.25">
      <c r="A4128" t="str">
        <f>T("   360300")</f>
        <v xml:space="preserve">   360300</v>
      </c>
      <c r="B4128" t="str">
        <f>T("   Mèches de sûreté; cordeaux détonants; amorces et capsules fulminantes; allumeurs; détonateurs électriques (à l'excl. des fusées d'obus et des douilles, munies ou non de leurs amorces)")</f>
        <v xml:space="preserve">   Mèches de sûreté; cordeaux détonants; amorces et capsules fulminantes; allumeurs; détonateurs électriques (à l'excl. des fusées d'obus et des douilles, munies ou non de leurs amorces)</v>
      </c>
      <c r="C4128">
        <v>101014560</v>
      </c>
      <c r="D4128">
        <v>11590</v>
      </c>
    </row>
    <row r="4129" spans="1:4" x14ac:dyDescent="0.25">
      <c r="A4129" t="str">
        <f>T("   360690")</f>
        <v xml:space="preserve">   360690</v>
      </c>
      <c r="B4129" t="s">
        <v>110</v>
      </c>
      <c r="C4129">
        <v>4218479</v>
      </c>
      <c r="D4129">
        <v>721</v>
      </c>
    </row>
    <row r="4130" spans="1:4" x14ac:dyDescent="0.25">
      <c r="A4130" t="str">
        <f>T("   370199")</f>
        <v xml:space="preserve">   370199</v>
      </c>
      <c r="B4130" t="s">
        <v>111</v>
      </c>
      <c r="C4130">
        <v>400136</v>
      </c>
      <c r="D4130">
        <v>500</v>
      </c>
    </row>
    <row r="4131" spans="1:4" x14ac:dyDescent="0.25">
      <c r="A4131" t="str">
        <f>T("   370320")</f>
        <v xml:space="preserve">   370320</v>
      </c>
      <c r="B4131"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4131">
        <v>13418445</v>
      </c>
      <c r="D4131">
        <v>37188</v>
      </c>
    </row>
    <row r="4132" spans="1:4" x14ac:dyDescent="0.25">
      <c r="A4132" t="str">
        <f>T("   370390")</f>
        <v xml:space="preserve">   370390</v>
      </c>
      <c r="B4132"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4132">
        <v>864380</v>
      </c>
      <c r="D4132">
        <v>550</v>
      </c>
    </row>
    <row r="4133" spans="1:4" x14ac:dyDescent="0.25">
      <c r="A4133" t="str">
        <f>T("   370510")</f>
        <v xml:space="preserve">   370510</v>
      </c>
      <c r="B4133" t="str">
        <f>T("   Plaques et pellicules, photographiques, impressionnées et développées, pour la reproduction offset (à l'excl. des plaques prêtes à l'emploi ainsi que des produits en papier, en carton ou en matières textiles)")</f>
        <v xml:space="preserve">   Plaques et pellicules, photographiques, impressionnées et développées, pour la reproduction offset (à l'excl. des plaques prêtes à l'emploi ainsi que des produits en papier, en carton ou en matières textiles)</v>
      </c>
      <c r="C4133">
        <v>15229228</v>
      </c>
      <c r="D4133">
        <v>2704</v>
      </c>
    </row>
    <row r="4134" spans="1:4" x14ac:dyDescent="0.25">
      <c r="A4134" t="str">
        <f>T("   370790")</f>
        <v xml:space="preserve">   370790</v>
      </c>
      <c r="B4134" t="s">
        <v>115</v>
      </c>
      <c r="C4134">
        <v>34182506</v>
      </c>
      <c r="D4134">
        <v>130626</v>
      </c>
    </row>
    <row r="4135" spans="1:4" x14ac:dyDescent="0.25">
      <c r="A4135" t="str">
        <f>T("   380210")</f>
        <v xml:space="preserve">   380210</v>
      </c>
      <c r="B4135" t="str">
        <f>T("   Charbons activés (à l'excl. des produits ayant le caractère de médicaments ou conditionnés pour la vente au détail en tant que désodorisants pour réfrigérateurs, automobiles, etc.)")</f>
        <v xml:space="preserve">   Charbons activés (à l'excl. des produits ayant le caractère de médicaments ou conditionnés pour la vente au détail en tant que désodorisants pour réfrigérateurs, automobiles, etc.)</v>
      </c>
      <c r="C4135">
        <v>17934701</v>
      </c>
      <c r="D4135">
        <v>3965</v>
      </c>
    </row>
    <row r="4136" spans="1:4" x14ac:dyDescent="0.25">
      <c r="A4136" t="str">
        <f>T("   380290")</f>
        <v xml:space="preserve">   380290</v>
      </c>
      <c r="B4136" t="str">
        <f>T("   Kieselguhr activé, autres matières minérales naturelles activées et noirs d'origine animale, y.c. le noir animal épuisé (à l'excl. des charbons activés, des produits chimiques activés ainsi que de la diatomite calcinée sans agents frittants)")</f>
        <v xml:space="preserve">   Kieselguhr activé, autres matières minérales naturelles activées et noirs d'origine animale, y.c. le noir animal épuisé (à l'excl. des charbons activés, des produits chimiques activés ainsi que de la diatomite calcinée sans agents frittants)</v>
      </c>
      <c r="C4136">
        <v>4591719</v>
      </c>
      <c r="D4136">
        <v>5400</v>
      </c>
    </row>
    <row r="4137" spans="1:4" x14ac:dyDescent="0.25">
      <c r="A4137" t="str">
        <f>T("   380510")</f>
        <v xml:space="preserve">   380510</v>
      </c>
      <c r="B4137" t="str">
        <f>T("   Essences de térébenthine, de bois de pin ou de papeterie au sulfate")</f>
        <v xml:space="preserve">   Essences de térébenthine, de bois de pin ou de papeterie au sulfate</v>
      </c>
      <c r="C4137">
        <v>1782429</v>
      </c>
      <c r="D4137">
        <v>30</v>
      </c>
    </row>
    <row r="4138" spans="1:4" x14ac:dyDescent="0.25">
      <c r="A4138" t="str">
        <f>T("   380590")</f>
        <v xml:space="preserve">   380590</v>
      </c>
      <c r="B4138" t="s">
        <v>116</v>
      </c>
      <c r="C4138">
        <v>5113208</v>
      </c>
      <c r="D4138">
        <v>2230</v>
      </c>
    </row>
    <row r="4139" spans="1:4" x14ac:dyDescent="0.25">
      <c r="A4139" t="str">
        <f>T("   380630")</f>
        <v xml:space="preserve">   380630</v>
      </c>
      <c r="B4139" t="str">
        <f>T("   Gommes esters")</f>
        <v xml:space="preserve">   Gommes esters</v>
      </c>
      <c r="C4139">
        <v>1292241</v>
      </c>
      <c r="D4139">
        <v>35</v>
      </c>
    </row>
    <row r="4140" spans="1:4" x14ac:dyDescent="0.25">
      <c r="A4140" t="str">
        <f>T("   380700")</f>
        <v xml:space="preserve">   380700</v>
      </c>
      <c r="B4140" t="str">
        <f>T("   Goudrons de bois; huiles de goudron de bois; créosote de bois; méthylène; poix végétales; poix de brasserie et préparations simil. à base de colophanes, d'acides résiniques ou de poix végétales")</f>
        <v xml:space="preserve">   Goudrons de bois; huiles de goudron de bois; créosote de bois; méthylène; poix végétales; poix de brasserie et préparations simil. à base de colophanes, d'acides résiniques ou de poix végétales</v>
      </c>
      <c r="C4140">
        <v>990000</v>
      </c>
      <c r="D4140">
        <v>210</v>
      </c>
    </row>
    <row r="4141" spans="1:4" x14ac:dyDescent="0.25">
      <c r="A4141" t="str">
        <f>T("   380810")</f>
        <v xml:space="preserve">   380810</v>
      </c>
      <c r="B4141"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4141">
        <v>36409776</v>
      </c>
      <c r="D4141">
        <v>16527</v>
      </c>
    </row>
    <row r="4142" spans="1:4" x14ac:dyDescent="0.25">
      <c r="A4142" t="str">
        <f>T("   380840")</f>
        <v xml:space="preserve">   380840</v>
      </c>
      <c r="B4142"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4142">
        <v>94426828</v>
      </c>
      <c r="D4142">
        <v>99265</v>
      </c>
    </row>
    <row r="4143" spans="1:4" x14ac:dyDescent="0.25">
      <c r="A4143" t="str">
        <f>T("   380890")</f>
        <v xml:space="preserve">   380890</v>
      </c>
      <c r="B4143"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4143">
        <v>63439359</v>
      </c>
      <c r="D4143">
        <v>21475.98</v>
      </c>
    </row>
    <row r="4144" spans="1:4" x14ac:dyDescent="0.25">
      <c r="A4144" t="str">
        <f>T("   380910")</f>
        <v xml:space="preserve">   380910</v>
      </c>
      <c r="B4144" t="s">
        <v>117</v>
      </c>
      <c r="C4144">
        <v>129880</v>
      </c>
      <c r="D4144">
        <v>78</v>
      </c>
    </row>
    <row r="4145" spans="1:4" x14ac:dyDescent="0.25">
      <c r="A4145" t="str">
        <f>T("   380991")</f>
        <v xml:space="preserve">   380991</v>
      </c>
      <c r="B4145" t="s">
        <v>118</v>
      </c>
      <c r="C4145">
        <v>3541498</v>
      </c>
      <c r="D4145">
        <v>3327</v>
      </c>
    </row>
    <row r="4146" spans="1:4" x14ac:dyDescent="0.25">
      <c r="A4146" t="str">
        <f>T("   381010")</f>
        <v xml:space="preserve">   381010</v>
      </c>
      <c r="B4146" t="str">
        <f>T("   Préparations pour le décapage des métaux; pâtes et poudres à souder ou à braser composées de métal et d'autres produits")</f>
        <v xml:space="preserve">   Préparations pour le décapage des métaux; pâtes et poudres à souder ou à braser composées de métal et d'autres produits</v>
      </c>
      <c r="C4146">
        <v>1946891</v>
      </c>
      <c r="D4146">
        <v>162</v>
      </c>
    </row>
    <row r="4147" spans="1:4" x14ac:dyDescent="0.25">
      <c r="A4147" t="str">
        <f>T("   381090")</f>
        <v xml:space="preserve">   381090</v>
      </c>
      <c r="B4147" t="s">
        <v>119</v>
      </c>
      <c r="C4147">
        <v>1424746</v>
      </c>
      <c r="D4147">
        <v>676</v>
      </c>
    </row>
    <row r="4148" spans="1:4" x14ac:dyDescent="0.25">
      <c r="A4148" t="str">
        <f>T("   381121")</f>
        <v xml:space="preserve">   381121</v>
      </c>
      <c r="B4148" t="str">
        <f>T("   Additifs préparés pour huiles lubrifiantes, contenant des huiles de pétrole ou de minéraux bitumineux")</f>
        <v xml:space="preserve">   Additifs préparés pour huiles lubrifiantes, contenant des huiles de pétrole ou de minéraux bitumineux</v>
      </c>
      <c r="C4148">
        <v>6265075</v>
      </c>
      <c r="D4148">
        <v>1498</v>
      </c>
    </row>
    <row r="4149" spans="1:4" x14ac:dyDescent="0.25">
      <c r="A4149" t="str">
        <f>T("   381190")</f>
        <v xml:space="preserve">   381190</v>
      </c>
      <c r="B4149" t="s">
        <v>120</v>
      </c>
      <c r="C4149">
        <v>2686157</v>
      </c>
      <c r="D4149">
        <v>1030</v>
      </c>
    </row>
    <row r="4150" spans="1:4" x14ac:dyDescent="0.25">
      <c r="A4150" t="str">
        <f>T("   381220")</f>
        <v xml:space="preserve">   381220</v>
      </c>
      <c r="B4150" t="str">
        <f>T("   Plastifiants composites pour caoutchouc ou matières plastiques, n.d.a.")</f>
        <v xml:space="preserve">   Plastifiants composites pour caoutchouc ou matières plastiques, n.d.a.</v>
      </c>
      <c r="C4150">
        <v>566749</v>
      </c>
      <c r="D4150">
        <v>275</v>
      </c>
    </row>
    <row r="4151" spans="1:4" x14ac:dyDescent="0.25">
      <c r="A4151" t="str">
        <f>T("   381230")</f>
        <v xml:space="preserve">   381230</v>
      </c>
      <c r="B4151" t="str">
        <f>T("   Préparations antioxydantes et autres stabilisateurs composites pour caoutchouc ou matières plastiques")</f>
        <v xml:space="preserve">   Préparations antioxydantes et autres stabilisateurs composites pour caoutchouc ou matières plastiques</v>
      </c>
      <c r="C4151">
        <v>36813787</v>
      </c>
      <c r="D4151">
        <v>40400</v>
      </c>
    </row>
    <row r="4152" spans="1:4" x14ac:dyDescent="0.25">
      <c r="A4152" t="str">
        <f>T("   381300")</f>
        <v xml:space="preserve">   381300</v>
      </c>
      <c r="B4152" t="s">
        <v>121</v>
      </c>
      <c r="C4152">
        <v>5348698</v>
      </c>
      <c r="D4152">
        <v>4607</v>
      </c>
    </row>
    <row r="4153" spans="1:4" x14ac:dyDescent="0.25">
      <c r="A4153" t="str">
        <f>T("   381400")</f>
        <v xml:space="preserve">   381400</v>
      </c>
      <c r="B4153"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4153">
        <v>39949934</v>
      </c>
      <c r="D4153">
        <v>1553</v>
      </c>
    </row>
    <row r="4154" spans="1:4" x14ac:dyDescent="0.25">
      <c r="A4154" t="str">
        <f>T("   381519")</f>
        <v xml:space="preserve">   381519</v>
      </c>
      <c r="B4154" t="str">
        <f>T("   Catalyseurs supportés, n.d.a. (sauf ayant comme substance active le nickel, un métal précieux ou un composé de ces métaux)")</f>
        <v xml:space="preserve">   Catalyseurs supportés, n.d.a. (sauf ayant comme substance active le nickel, un métal précieux ou un composé de ces métaux)</v>
      </c>
      <c r="C4154">
        <v>14730048</v>
      </c>
      <c r="D4154">
        <v>2069</v>
      </c>
    </row>
    <row r="4155" spans="1:4" x14ac:dyDescent="0.25">
      <c r="A4155" t="str">
        <f>T("   381590")</f>
        <v xml:space="preserve">   381590</v>
      </c>
      <c r="B4155" t="str">
        <f>T("   Initiateurs de réaction, accélérateurs de réaction et préparations catalytiques, n.d.a. (à l'excl. des accélérateurs de vulcanisation et des catalyseurs supportés)")</f>
        <v xml:space="preserve">   Initiateurs de réaction, accélérateurs de réaction et préparations catalytiques, n.d.a. (à l'excl. des accélérateurs de vulcanisation et des catalyseurs supportés)</v>
      </c>
      <c r="C4155">
        <v>740000</v>
      </c>
      <c r="D4155">
        <v>325</v>
      </c>
    </row>
    <row r="4156" spans="1:4" x14ac:dyDescent="0.25">
      <c r="A4156" t="str">
        <f>T("   381600")</f>
        <v xml:space="preserve">   381600</v>
      </c>
      <c r="B4156"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4156">
        <v>585832</v>
      </c>
      <c r="D4156">
        <v>1561</v>
      </c>
    </row>
    <row r="4157" spans="1:4" x14ac:dyDescent="0.25">
      <c r="A4157" t="str">
        <f>T("   381900")</f>
        <v xml:space="preserve">   381900</v>
      </c>
      <c r="B4157"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4157">
        <v>1344179</v>
      </c>
      <c r="D4157">
        <v>677</v>
      </c>
    </row>
    <row r="4158" spans="1:4" x14ac:dyDescent="0.25">
      <c r="A4158" t="str">
        <f>T("   382000")</f>
        <v xml:space="preserve">   382000</v>
      </c>
      <c r="B4158" t="str">
        <f>T("   Préparations antigel et liquides préparés pour dégivrage (à l'excl. des additifs préparés pour huiles minérales ou pour autres liquides utilisés aux mêmes fins que les huiles minérales)")</f>
        <v xml:space="preserve">   Préparations antigel et liquides préparés pour dégivrage (à l'excl. des additifs préparés pour huiles minérales ou pour autres liquides utilisés aux mêmes fins que les huiles minérales)</v>
      </c>
      <c r="C4158">
        <v>106266</v>
      </c>
      <c r="D4158">
        <v>145</v>
      </c>
    </row>
    <row r="4159" spans="1:4" x14ac:dyDescent="0.25">
      <c r="A4159" t="str">
        <f>T("   382100")</f>
        <v xml:space="preserve">   382100</v>
      </c>
      <c r="B4159" t="str">
        <f>T("   Milieux de culture préparés pour le développement des micro-organismes")</f>
        <v xml:space="preserve">   Milieux de culture préparés pour le développement des micro-organismes</v>
      </c>
      <c r="C4159">
        <v>13081155</v>
      </c>
      <c r="D4159">
        <v>879</v>
      </c>
    </row>
    <row r="4160" spans="1:4" x14ac:dyDescent="0.25">
      <c r="A4160" t="str">
        <f>T("   382200")</f>
        <v xml:space="preserve">   382200</v>
      </c>
      <c r="B4160" t="s">
        <v>122</v>
      </c>
      <c r="C4160">
        <v>290623838</v>
      </c>
      <c r="D4160">
        <v>9845.86</v>
      </c>
    </row>
    <row r="4161" spans="1:4" x14ac:dyDescent="0.25">
      <c r="A4161" t="str">
        <f>T("   382440")</f>
        <v xml:space="preserve">   382440</v>
      </c>
      <c r="B4161" t="str">
        <f>T("   Additifs préparés pour ciments, mortiers ou bétons")</f>
        <v xml:space="preserve">   Additifs préparés pour ciments, mortiers ou bétons</v>
      </c>
      <c r="C4161">
        <v>150811510</v>
      </c>
      <c r="D4161">
        <v>183120</v>
      </c>
    </row>
    <row r="4162" spans="1:4" x14ac:dyDescent="0.25">
      <c r="A4162" t="str">
        <f>T("   382450")</f>
        <v xml:space="preserve">   382450</v>
      </c>
      <c r="B4162" t="str">
        <f>T("   MORTIERS ET BÉTONS, NON-RÉFRACTAIRES")</f>
        <v xml:space="preserve">   MORTIERS ET BÉTONS, NON-RÉFRACTAIRES</v>
      </c>
      <c r="C4162">
        <v>9663431</v>
      </c>
      <c r="D4162">
        <v>57021</v>
      </c>
    </row>
    <row r="4163" spans="1:4" x14ac:dyDescent="0.25">
      <c r="A4163" t="str">
        <f>T("   382490")</f>
        <v xml:space="preserve">   382490</v>
      </c>
      <c r="B4163"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4163">
        <v>434159879</v>
      </c>
      <c r="D4163">
        <v>74412</v>
      </c>
    </row>
    <row r="4164" spans="1:4" x14ac:dyDescent="0.25">
      <c r="A4164" t="str">
        <f>T("   390110")</f>
        <v xml:space="preserve">   390110</v>
      </c>
      <c r="B4164" t="str">
        <f>T("   Polyéthylène d'une densité &lt; 0,94, sous formes primaires")</f>
        <v xml:space="preserve">   Polyéthylène d'une densité &lt; 0,94, sous formes primaires</v>
      </c>
      <c r="C4164">
        <v>230732205</v>
      </c>
      <c r="D4164">
        <v>269166</v>
      </c>
    </row>
    <row r="4165" spans="1:4" x14ac:dyDescent="0.25">
      <c r="A4165" t="str">
        <f>T("   390120")</f>
        <v xml:space="preserve">   390120</v>
      </c>
      <c r="B4165" t="str">
        <f>T("   Polyéthylène d'une densité &gt;= 0,94, sous formes primaires")</f>
        <v xml:space="preserve">   Polyéthylène d'une densité &gt;= 0,94, sous formes primaires</v>
      </c>
      <c r="C4165">
        <v>159359466</v>
      </c>
      <c r="D4165">
        <v>209947</v>
      </c>
    </row>
    <row r="4166" spans="1:4" x14ac:dyDescent="0.25">
      <c r="A4166" t="str">
        <f>T("   390190")</f>
        <v xml:space="preserve">   390190</v>
      </c>
      <c r="B4166"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4166">
        <v>252735640</v>
      </c>
      <c r="D4166">
        <v>454541</v>
      </c>
    </row>
    <row r="4167" spans="1:4" x14ac:dyDescent="0.25">
      <c r="A4167" t="str">
        <f>T("   390210")</f>
        <v xml:space="preserve">   390210</v>
      </c>
      <c r="B4167" t="str">
        <f>T("   Polypropylène, sous formes primaires")</f>
        <v xml:space="preserve">   Polypropylène, sous formes primaires</v>
      </c>
      <c r="C4167">
        <v>142352602</v>
      </c>
      <c r="D4167">
        <v>206970</v>
      </c>
    </row>
    <row r="4168" spans="1:4" x14ac:dyDescent="0.25">
      <c r="A4168" t="str">
        <f>T("   390220")</f>
        <v xml:space="preserve">   390220</v>
      </c>
      <c r="B4168" t="str">
        <f>T("   Polyisobutylène, sous formes primaires")</f>
        <v xml:space="preserve">   Polyisobutylène, sous formes primaires</v>
      </c>
      <c r="C4168">
        <v>6368060</v>
      </c>
      <c r="D4168">
        <v>8420</v>
      </c>
    </row>
    <row r="4169" spans="1:4" x14ac:dyDescent="0.25">
      <c r="A4169" t="str">
        <f>T("   390230")</f>
        <v xml:space="preserve">   390230</v>
      </c>
      <c r="B4169" t="str">
        <f>T("   Copolymères de propylène, sous formes primaires")</f>
        <v xml:space="preserve">   Copolymères de propylène, sous formes primaires</v>
      </c>
      <c r="C4169">
        <v>40350067</v>
      </c>
      <c r="D4169">
        <v>49500</v>
      </c>
    </row>
    <row r="4170" spans="1:4" x14ac:dyDescent="0.25">
      <c r="A4170" t="str">
        <f>T("   390319")</f>
        <v xml:space="preserve">   390319</v>
      </c>
      <c r="B4170" t="str">
        <f>T("   Polystyrène sous formes primaires (à l'excl. du polystyrène expansible)")</f>
        <v xml:space="preserve">   Polystyrène sous formes primaires (à l'excl. du polystyrène expansible)</v>
      </c>
      <c r="C4170">
        <v>14520331</v>
      </c>
      <c r="D4170">
        <v>15200</v>
      </c>
    </row>
    <row r="4171" spans="1:4" x14ac:dyDescent="0.25">
      <c r="A4171" t="str">
        <f>T("   390390")</f>
        <v xml:space="preserve">   390390</v>
      </c>
      <c r="B4171"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4171">
        <v>1842592</v>
      </c>
      <c r="D4171">
        <v>1000</v>
      </c>
    </row>
    <row r="4172" spans="1:4" x14ac:dyDescent="0.25">
      <c r="A4172" t="str">
        <f>T("   390410")</f>
        <v xml:space="preserve">   390410</v>
      </c>
      <c r="B4172" t="str">
        <f>T("   Poly[chlorure de vinyle], sous formes primaires, non mélangé à d'autres substances")</f>
        <v xml:space="preserve">   Poly[chlorure de vinyle], sous formes primaires, non mélangé à d'autres substances</v>
      </c>
      <c r="C4172">
        <v>435305452</v>
      </c>
      <c r="D4172">
        <v>759718</v>
      </c>
    </row>
    <row r="4173" spans="1:4" x14ac:dyDescent="0.25">
      <c r="A4173" t="str">
        <f>T("   390521")</f>
        <v xml:space="preserve">   390521</v>
      </c>
      <c r="B4173" t="str">
        <f>T("   Copolymères d'acétate de vinyle, en dispersion aqueuse")</f>
        <v xml:space="preserve">   Copolymères d'acétate de vinyle, en dispersion aqueuse</v>
      </c>
      <c r="C4173">
        <v>53318537</v>
      </c>
      <c r="D4173">
        <v>55684</v>
      </c>
    </row>
    <row r="4174" spans="1:4" x14ac:dyDescent="0.25">
      <c r="A4174" t="str">
        <f>T("   390690")</f>
        <v xml:space="preserve">   390690</v>
      </c>
      <c r="B4174" t="str">
        <f>T("   Polymères acryliques, sous formes primaires (à l'excl. du poly[méthacrylate de méthyle])")</f>
        <v xml:space="preserve">   Polymères acryliques, sous formes primaires (à l'excl. du poly[méthacrylate de méthyle])</v>
      </c>
      <c r="C4174">
        <v>4129925</v>
      </c>
      <c r="D4174">
        <v>1613</v>
      </c>
    </row>
    <row r="4175" spans="1:4" x14ac:dyDescent="0.25">
      <c r="A4175" t="str">
        <f>T("   390720")</f>
        <v xml:space="preserve">   390720</v>
      </c>
      <c r="B4175" t="str">
        <f>T("   Polyéthers, sous formes primaires (à l'excl. des polyacétals)")</f>
        <v xml:space="preserve">   Polyéthers, sous formes primaires (à l'excl. des polyacétals)</v>
      </c>
      <c r="C4175">
        <v>645591594</v>
      </c>
      <c r="D4175">
        <v>517642</v>
      </c>
    </row>
    <row r="4176" spans="1:4" x14ac:dyDescent="0.25">
      <c r="A4176" t="str">
        <f>T("   390730")</f>
        <v xml:space="preserve">   390730</v>
      </c>
      <c r="B4176" t="str">
        <f>T("   Résines époxydes, sous formes primaires")</f>
        <v xml:space="preserve">   Résines époxydes, sous formes primaires</v>
      </c>
      <c r="C4176">
        <v>356842</v>
      </c>
      <c r="D4176">
        <v>150</v>
      </c>
    </row>
    <row r="4177" spans="1:4" x14ac:dyDescent="0.25">
      <c r="A4177" t="str">
        <f>T("   390750")</f>
        <v xml:space="preserve">   390750</v>
      </c>
      <c r="B4177" t="str">
        <f>T("   Résines alkydes, sous formes primaires")</f>
        <v xml:space="preserve">   Résines alkydes, sous formes primaires</v>
      </c>
      <c r="C4177">
        <v>57549526</v>
      </c>
      <c r="D4177">
        <v>52315</v>
      </c>
    </row>
    <row r="4178" spans="1:4" x14ac:dyDescent="0.25">
      <c r="A4178" t="str">
        <f>T("   390791")</f>
        <v xml:space="preserve">   390791</v>
      </c>
      <c r="B4178" t="str">
        <f>T("   POLYESTERS ALLYLIQUES ET AUTRES POLYESTERS, NON-SATURÉS, SOUS FORMES PRIMAIRES (À L'EXCL. DES POLYCARBONATES, DES RÉSINES ALKYDES, DU POLY[ÉTHYLÈNE TÉRÉPHTALATE] ET DU POLY[ACIDE LACTIQUE])")</f>
        <v xml:space="preserve">   POLYESTERS ALLYLIQUES ET AUTRES POLYESTERS, NON-SATURÉS, SOUS FORMES PRIMAIRES (À L'EXCL. DES POLYCARBONATES, DES RÉSINES ALKYDES, DU POLY[ÉTHYLÈNE TÉRÉPHTALATE] ET DU POLY[ACIDE LACTIQUE])</v>
      </c>
      <c r="C4178">
        <v>2851460</v>
      </c>
      <c r="D4178">
        <v>952</v>
      </c>
    </row>
    <row r="4179" spans="1:4" x14ac:dyDescent="0.25">
      <c r="A4179" t="str">
        <f>T("   390799")</f>
        <v xml:space="preserve">   390799</v>
      </c>
      <c r="B4179"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4179">
        <v>64926192</v>
      </c>
      <c r="D4179">
        <v>83710</v>
      </c>
    </row>
    <row r="4180" spans="1:4" x14ac:dyDescent="0.25">
      <c r="A4180" t="str">
        <f>T("   390810")</f>
        <v xml:space="preserve">   390810</v>
      </c>
      <c r="B4180" t="str">
        <f>T("   Polyamide-6, -11, -12, -6,6, -6,9, -6,10 ou -6,12, sous formes primaires")</f>
        <v xml:space="preserve">   Polyamide-6, -11, -12, -6,6, -6,9, -6,10 ou -6,12, sous formes primaires</v>
      </c>
      <c r="C4180">
        <v>1144558</v>
      </c>
      <c r="D4180">
        <v>142</v>
      </c>
    </row>
    <row r="4181" spans="1:4" x14ac:dyDescent="0.25">
      <c r="A4181" t="str">
        <f>T("   390950")</f>
        <v xml:space="preserve">   390950</v>
      </c>
      <c r="B4181" t="str">
        <f>T("   Polyuréthannes, sous formes primaires")</f>
        <v xml:space="preserve">   Polyuréthannes, sous formes primaires</v>
      </c>
      <c r="C4181">
        <v>62810214</v>
      </c>
      <c r="D4181">
        <v>51398.9</v>
      </c>
    </row>
    <row r="4182" spans="1:4" x14ac:dyDescent="0.25">
      <c r="A4182" t="str">
        <f>T("   391000")</f>
        <v xml:space="preserve">   391000</v>
      </c>
      <c r="B4182" t="str">
        <f>T("   Silicones sous formes primaires")</f>
        <v xml:space="preserve">   Silicones sous formes primaires</v>
      </c>
      <c r="C4182">
        <v>39313114</v>
      </c>
      <c r="D4182">
        <v>12230</v>
      </c>
    </row>
    <row r="4183" spans="1:4" x14ac:dyDescent="0.25">
      <c r="A4183" t="str">
        <f>T("   391110")</f>
        <v xml:space="preserve">   391110</v>
      </c>
      <c r="B4183" t="str">
        <f>T("   Résines de pétrole, résines de coumarone, résines d'indène, résines de coumarone-indène et polyterpènes, sous formes primaires")</f>
        <v xml:space="preserve">   Résines de pétrole, résines de coumarone, résines d'indène, résines de coumarone-indène et polyterpènes, sous formes primaires</v>
      </c>
      <c r="C4183">
        <v>5169621</v>
      </c>
      <c r="D4183">
        <v>5040</v>
      </c>
    </row>
    <row r="4184" spans="1:4" x14ac:dyDescent="0.25">
      <c r="A4184" t="str">
        <f>T("   391190")</f>
        <v xml:space="preserve">   391190</v>
      </c>
      <c r="B4184" t="str">
        <f>T("   Polysulfures, polysulfones et autres polymères et prépolymères obtenus par voie de synthèse chimique [voir note 3 du présent chapitre], n.d.a., sous formes primaires")</f>
        <v xml:space="preserve">   Polysulfures, polysulfones et autres polymères et prépolymères obtenus par voie de synthèse chimique [voir note 3 du présent chapitre], n.d.a., sous formes primaires</v>
      </c>
      <c r="C4184">
        <v>350000</v>
      </c>
      <c r="D4184">
        <v>646</v>
      </c>
    </row>
    <row r="4185" spans="1:4" x14ac:dyDescent="0.25">
      <c r="A4185" t="str">
        <f>T("   391220")</f>
        <v xml:space="preserve">   391220</v>
      </c>
      <c r="B4185" t="str">
        <f>T("   Nitrates de cellulose, y.c. les collodions, sous formes primaires")</f>
        <v xml:space="preserve">   Nitrates de cellulose, y.c. les collodions, sous formes primaires</v>
      </c>
      <c r="C4185">
        <v>16921800</v>
      </c>
      <c r="D4185">
        <v>7176</v>
      </c>
    </row>
    <row r="4186" spans="1:4" x14ac:dyDescent="0.25">
      <c r="A4186" t="str">
        <f>T("   391239")</f>
        <v xml:space="preserve">   391239</v>
      </c>
      <c r="B4186" t="str">
        <f>T("   ÉTHERS DE CELLULOSE, SOUS FORMES PRIMAIRES (À L'EXCL. DE LA CARBOXYMÉTHYLCELLULOSE ET DE SES SELS)")</f>
        <v xml:space="preserve">   ÉTHERS DE CELLULOSE, SOUS FORMES PRIMAIRES (À L'EXCL. DE LA CARBOXYMÉTHYLCELLULOSE ET DE SES SELS)</v>
      </c>
      <c r="C4186">
        <v>56144930</v>
      </c>
      <c r="D4186">
        <v>12073</v>
      </c>
    </row>
    <row r="4187" spans="1:4" x14ac:dyDescent="0.25">
      <c r="A4187" t="str">
        <f>T("   391290")</f>
        <v xml:space="preserve">   391290</v>
      </c>
      <c r="B4187" t="str">
        <f>T("   Cellulose et ses dérivés chimiques, n.d.a., sous formes primaires (à l'excl. des acétates, nitrates et éthers de cellulose)")</f>
        <v xml:space="preserve">   Cellulose et ses dérivés chimiques, n.d.a., sous formes primaires (à l'excl. des acétates, nitrates et éthers de cellulose)</v>
      </c>
      <c r="C4187">
        <v>1813729</v>
      </c>
      <c r="D4187">
        <v>711</v>
      </c>
    </row>
    <row r="4188" spans="1:4" x14ac:dyDescent="0.25">
      <c r="A4188" t="str">
        <f>T("   391390")</f>
        <v xml:space="preserve">   391390</v>
      </c>
      <c r="B4188" t="str">
        <f>T("   Polymères naturels et polymères naturels modifiés [protéines durcies, dérivés chimiques du caoutchouc naturel, par exemple], n.d.a., sous formes primaires (à l'excl. de l'acide alginique et de ses sels et esters)")</f>
        <v xml:space="preserve">   Polymères naturels et polymères naturels modifiés [protéines durcies, dérivés chimiques du caoutchouc naturel, par exemple], n.d.a., sous formes primaires (à l'excl. de l'acide alginique et de ses sels et esters)</v>
      </c>
      <c r="C4188">
        <v>1007555</v>
      </c>
      <c r="D4188">
        <v>200</v>
      </c>
    </row>
    <row r="4189" spans="1:4" x14ac:dyDescent="0.25">
      <c r="A4189" t="str">
        <f>T("   391721")</f>
        <v xml:space="preserve">   391721</v>
      </c>
      <c r="B4189" t="str">
        <f>T("   TUBES ET TUYAUX RIGIDES, EN POLYMÈRES DE L'ÉTHYLÈNE")</f>
        <v xml:space="preserve">   TUBES ET TUYAUX RIGIDES, EN POLYMÈRES DE L'ÉTHYLÈNE</v>
      </c>
      <c r="C4189">
        <v>12749660</v>
      </c>
      <c r="D4189">
        <v>4514</v>
      </c>
    </row>
    <row r="4190" spans="1:4" x14ac:dyDescent="0.25">
      <c r="A4190" t="str">
        <f>T("   391722")</f>
        <v xml:space="preserve">   391722</v>
      </c>
      <c r="B4190" t="str">
        <f>T("   TUBES ET TUYAUX RIGIDES, EN POLYMÈRES DU PROPYLÈNE")</f>
        <v xml:space="preserve">   TUBES ET TUYAUX RIGIDES, EN POLYMÈRES DU PROPYLÈNE</v>
      </c>
      <c r="C4190">
        <v>1170134</v>
      </c>
      <c r="D4190">
        <v>75</v>
      </c>
    </row>
    <row r="4191" spans="1:4" x14ac:dyDescent="0.25">
      <c r="A4191" t="str">
        <f>T("   391723")</f>
        <v xml:space="preserve">   391723</v>
      </c>
      <c r="B4191" t="str">
        <f>T("   TUBES ET TUYAUX RIGIDES, EN POLYMÈRES DU CHLORURE DE VINYLE")</f>
        <v xml:space="preserve">   TUBES ET TUYAUX RIGIDES, EN POLYMÈRES DU CHLORURE DE VINYLE</v>
      </c>
      <c r="C4191">
        <v>10777022</v>
      </c>
      <c r="D4191">
        <v>3352</v>
      </c>
    </row>
    <row r="4192" spans="1:4" x14ac:dyDescent="0.25">
      <c r="A4192" t="str">
        <f>T("   391729")</f>
        <v xml:space="preserve">   391729</v>
      </c>
      <c r="B4192"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4192">
        <v>60349</v>
      </c>
      <c r="D4192">
        <v>70</v>
      </c>
    </row>
    <row r="4193" spans="1:4" x14ac:dyDescent="0.25">
      <c r="A4193" t="str">
        <f>T("   391731")</f>
        <v xml:space="preserve">   391731</v>
      </c>
      <c r="B4193" t="str">
        <f>T("   Tubes et tuyaux souples, en matières plastiques, pouvant supporter une pression &gt;= 27,6 MPa, même munis d'accessoires")</f>
        <v xml:space="preserve">   Tubes et tuyaux souples, en matières plastiques, pouvant supporter une pression &gt;= 27,6 MPa, même munis d'accessoires</v>
      </c>
      <c r="C4193">
        <v>609007</v>
      </c>
      <c r="D4193">
        <v>602</v>
      </c>
    </row>
    <row r="4194" spans="1:4" x14ac:dyDescent="0.25">
      <c r="A4194" t="str">
        <f>T("   391739")</f>
        <v xml:space="preserve">   391739</v>
      </c>
      <c r="B4194"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4194">
        <v>5269667</v>
      </c>
      <c r="D4194">
        <v>4531</v>
      </c>
    </row>
    <row r="4195" spans="1:4" x14ac:dyDescent="0.25">
      <c r="A4195" t="str">
        <f>T("   391740")</f>
        <v xml:space="preserve">   391740</v>
      </c>
      <c r="B4195" t="str">
        <f>T("   Accessoires pour tubes ou tuyaux [joints, coudes, raccords, par exemple], en matières plastiques")</f>
        <v xml:space="preserve">   Accessoires pour tubes ou tuyaux [joints, coudes, raccords, par exemple], en matières plastiques</v>
      </c>
      <c r="C4195">
        <v>10072253</v>
      </c>
      <c r="D4195">
        <v>5127</v>
      </c>
    </row>
    <row r="4196" spans="1:4" x14ac:dyDescent="0.25">
      <c r="A4196" t="str">
        <f>T("   391810")</f>
        <v xml:space="preserve">   391810</v>
      </c>
      <c r="B4196" t="s">
        <v>125</v>
      </c>
      <c r="C4196">
        <v>4788508</v>
      </c>
      <c r="D4196">
        <v>1095</v>
      </c>
    </row>
    <row r="4197" spans="1:4" x14ac:dyDescent="0.25">
      <c r="A4197" t="str">
        <f>T("   391910")</f>
        <v xml:space="preserve">   391910</v>
      </c>
      <c r="B4197"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4197">
        <v>47195997</v>
      </c>
      <c r="D4197">
        <v>11946</v>
      </c>
    </row>
    <row r="4198" spans="1:4" x14ac:dyDescent="0.25">
      <c r="A4198" t="str">
        <f>T("   391990")</f>
        <v xml:space="preserve">   391990</v>
      </c>
      <c r="B4198" t="s">
        <v>127</v>
      </c>
      <c r="C4198">
        <v>46490307</v>
      </c>
      <c r="D4198">
        <v>8717</v>
      </c>
    </row>
    <row r="4199" spans="1:4" x14ac:dyDescent="0.25">
      <c r="A4199" t="str">
        <f>T("   392010")</f>
        <v xml:space="preserve">   392010</v>
      </c>
      <c r="B4199" t="s">
        <v>128</v>
      </c>
      <c r="C4199">
        <v>121294534</v>
      </c>
      <c r="D4199">
        <v>46141</v>
      </c>
    </row>
    <row r="4200" spans="1:4" x14ac:dyDescent="0.25">
      <c r="A4200" t="str">
        <f>T("   392020")</f>
        <v xml:space="preserve">   392020</v>
      </c>
      <c r="B4200" t="s">
        <v>129</v>
      </c>
      <c r="C4200">
        <v>17811282</v>
      </c>
      <c r="D4200">
        <v>7969</v>
      </c>
    </row>
    <row r="4201" spans="1:4" x14ac:dyDescent="0.25">
      <c r="A4201" t="str">
        <f>T("   392043")</f>
        <v xml:space="preserve">   392043</v>
      </c>
      <c r="B4201" t="s">
        <v>130</v>
      </c>
      <c r="C4201">
        <v>690725</v>
      </c>
      <c r="D4201">
        <v>586</v>
      </c>
    </row>
    <row r="4202" spans="1:4" x14ac:dyDescent="0.25">
      <c r="A4202" t="str">
        <f>T("   392049")</f>
        <v xml:space="preserve">   392049</v>
      </c>
      <c r="B4202" t="s">
        <v>131</v>
      </c>
      <c r="C4202">
        <v>57725</v>
      </c>
      <c r="D4202">
        <v>11</v>
      </c>
    </row>
    <row r="4203" spans="1:4" x14ac:dyDescent="0.25">
      <c r="A4203" t="str">
        <f>T("   392063")</f>
        <v xml:space="preserve">   392063</v>
      </c>
      <c r="B4203" t="s">
        <v>133</v>
      </c>
      <c r="C4203">
        <v>462136</v>
      </c>
      <c r="D4203">
        <v>405</v>
      </c>
    </row>
    <row r="4204" spans="1:4" x14ac:dyDescent="0.25">
      <c r="A4204" t="str">
        <f>T("   392069")</f>
        <v xml:space="preserve">   392069</v>
      </c>
      <c r="B4204" t="s">
        <v>134</v>
      </c>
      <c r="C4204">
        <v>6260725</v>
      </c>
      <c r="D4204">
        <v>2000</v>
      </c>
    </row>
    <row r="4205" spans="1:4" x14ac:dyDescent="0.25">
      <c r="A4205" t="str">
        <f>T("   392079")</f>
        <v xml:space="preserve">   392079</v>
      </c>
      <c r="B4205" t="s">
        <v>135</v>
      </c>
      <c r="C4205">
        <v>7324449</v>
      </c>
      <c r="D4205">
        <v>24</v>
      </c>
    </row>
    <row r="4206" spans="1:4" x14ac:dyDescent="0.25">
      <c r="A4206" t="str">
        <f>T("   392099")</f>
        <v xml:space="preserve">   392099</v>
      </c>
      <c r="B4206" t="s">
        <v>137</v>
      </c>
      <c r="C4206">
        <v>20109322</v>
      </c>
      <c r="D4206">
        <v>19186</v>
      </c>
    </row>
    <row r="4207" spans="1:4" x14ac:dyDescent="0.25">
      <c r="A4207" t="str">
        <f>T("   392113")</f>
        <v xml:space="preserve">   392113</v>
      </c>
      <c r="B4207" t="s">
        <v>139</v>
      </c>
      <c r="C4207">
        <v>1237141</v>
      </c>
      <c r="D4207">
        <v>100</v>
      </c>
    </row>
    <row r="4208" spans="1:4" x14ac:dyDescent="0.25">
      <c r="A4208" t="str">
        <f>T("   392119")</f>
        <v xml:space="preserve">   392119</v>
      </c>
      <c r="B4208" t="s">
        <v>140</v>
      </c>
      <c r="C4208">
        <v>47229</v>
      </c>
      <c r="D4208">
        <v>108</v>
      </c>
    </row>
    <row r="4209" spans="1:4" x14ac:dyDescent="0.25">
      <c r="A4209" t="str">
        <f>T("   392190")</f>
        <v xml:space="preserve">   392190</v>
      </c>
      <c r="B4209" t="s">
        <v>141</v>
      </c>
      <c r="C4209">
        <v>94689204</v>
      </c>
      <c r="D4209">
        <v>10554</v>
      </c>
    </row>
    <row r="4210" spans="1:4" x14ac:dyDescent="0.25">
      <c r="A4210" t="str">
        <f>T("   392210")</f>
        <v xml:space="preserve">   392210</v>
      </c>
      <c r="B4210" t="str">
        <f>T("   Baignoires, douches, éviers et lavabos, en matières plastiques")</f>
        <v xml:space="preserve">   Baignoires, douches, éviers et lavabos, en matières plastiques</v>
      </c>
      <c r="C4210">
        <v>3163416</v>
      </c>
      <c r="D4210">
        <v>748</v>
      </c>
    </row>
    <row r="4211" spans="1:4" x14ac:dyDescent="0.25">
      <c r="A4211" t="str">
        <f>T("   392220")</f>
        <v xml:space="preserve">   392220</v>
      </c>
      <c r="B4211" t="str">
        <f>T("   Sièges et couvercles de cuvettes d'aisance, en matières plastiques")</f>
        <v xml:space="preserve">   Sièges et couvercles de cuvettes d'aisance, en matières plastiques</v>
      </c>
      <c r="C4211">
        <v>2106950</v>
      </c>
      <c r="D4211">
        <v>869</v>
      </c>
    </row>
    <row r="4212" spans="1:4" x14ac:dyDescent="0.25">
      <c r="A4212" t="str">
        <f>T("   392290")</f>
        <v xml:space="preserve">   392290</v>
      </c>
      <c r="B4212"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4212">
        <v>4637269</v>
      </c>
      <c r="D4212">
        <v>3279</v>
      </c>
    </row>
    <row r="4213" spans="1:4" x14ac:dyDescent="0.25">
      <c r="A4213" t="str">
        <f>T("   392310")</f>
        <v xml:space="preserve">   392310</v>
      </c>
      <c r="B4213" t="str">
        <f>T("   Boîtes, caisses, casiers et articles simil. pour le transport ou l'emballage, en matières plastiques")</f>
        <v xml:space="preserve">   Boîtes, caisses, casiers et articles simil. pour le transport ou l'emballage, en matières plastiques</v>
      </c>
      <c r="C4213">
        <v>14992129</v>
      </c>
      <c r="D4213">
        <v>7315</v>
      </c>
    </row>
    <row r="4214" spans="1:4" x14ac:dyDescent="0.25">
      <c r="A4214" t="str">
        <f>T("   392321")</f>
        <v xml:space="preserve">   392321</v>
      </c>
      <c r="B4214" t="str">
        <f>T("   Sacs, sachets, pochettes et cornets, en polymères de l'éthylène")</f>
        <v xml:space="preserve">   Sacs, sachets, pochettes et cornets, en polymères de l'éthylène</v>
      </c>
      <c r="C4214">
        <v>139864</v>
      </c>
      <c r="D4214">
        <v>128</v>
      </c>
    </row>
    <row r="4215" spans="1:4" x14ac:dyDescent="0.25">
      <c r="A4215" t="str">
        <f>T("   392329")</f>
        <v xml:space="preserve">   392329</v>
      </c>
      <c r="B4215" t="str">
        <f>T("   Sacs, sachets, pochettes et cornets, en matières plastiques (autres que les polymères de l'éthylène)")</f>
        <v xml:space="preserve">   Sacs, sachets, pochettes et cornets, en matières plastiques (autres que les polymères de l'éthylène)</v>
      </c>
      <c r="C4215">
        <v>32715695</v>
      </c>
      <c r="D4215">
        <v>25906</v>
      </c>
    </row>
    <row r="4216" spans="1:4" x14ac:dyDescent="0.25">
      <c r="A4216" t="str">
        <f>T("   392330")</f>
        <v xml:space="preserve">   392330</v>
      </c>
      <c r="B4216" t="str">
        <f>T("   Bonbonnes, bouteilles, flacons et articles simil. pour le transport ou l'emballage, en matières plastiques")</f>
        <v xml:space="preserve">   Bonbonnes, bouteilles, flacons et articles simil. pour le transport ou l'emballage, en matières plastiques</v>
      </c>
      <c r="C4216">
        <v>271044039</v>
      </c>
      <c r="D4216">
        <v>176738</v>
      </c>
    </row>
    <row r="4217" spans="1:4" x14ac:dyDescent="0.25">
      <c r="A4217" t="str">
        <f>T("   392350")</f>
        <v xml:space="preserve">   392350</v>
      </c>
      <c r="B4217" t="str">
        <f>T("   Bouchons, couvercles, capsules et autres dispositifs de fermeture, en matières plastiques")</f>
        <v xml:space="preserve">   Bouchons, couvercles, capsules et autres dispositifs de fermeture, en matières plastiques</v>
      </c>
      <c r="C4217">
        <v>179720268</v>
      </c>
      <c r="D4217">
        <v>62059</v>
      </c>
    </row>
    <row r="4218" spans="1:4" x14ac:dyDescent="0.25">
      <c r="A4218" t="str">
        <f>T("   392390")</f>
        <v xml:space="preserve">   392390</v>
      </c>
      <c r="B4218" t="s">
        <v>142</v>
      </c>
      <c r="C4218">
        <v>26407159</v>
      </c>
      <c r="D4218">
        <v>21508</v>
      </c>
    </row>
    <row r="4219" spans="1:4" x14ac:dyDescent="0.25">
      <c r="A4219" t="str">
        <f>T("   392410")</f>
        <v xml:space="preserve">   392410</v>
      </c>
      <c r="B4219" t="str">
        <f>T("   Vaisselle et autres articles pour le service de la table ou de la cuisine, en matières plastiques")</f>
        <v xml:space="preserve">   Vaisselle et autres articles pour le service de la table ou de la cuisine, en matières plastiques</v>
      </c>
      <c r="C4219">
        <v>108891473</v>
      </c>
      <c r="D4219">
        <v>38266</v>
      </c>
    </row>
    <row r="4220" spans="1:4" x14ac:dyDescent="0.25">
      <c r="A4220" t="str">
        <f>T("   392490")</f>
        <v xml:space="preserve">   392490</v>
      </c>
      <c r="B4220" t="s">
        <v>143</v>
      </c>
      <c r="C4220">
        <v>106277997</v>
      </c>
      <c r="D4220">
        <v>58075</v>
      </c>
    </row>
    <row r="4221" spans="1:4" x14ac:dyDescent="0.25">
      <c r="A4221" t="str">
        <f>T("   392510")</f>
        <v xml:space="preserve">   392510</v>
      </c>
      <c r="B4221" t="str">
        <f>T("   Réservoirs, foudres, cuves et récipients analogues, en matières plastiques, d'une contenance &gt; 300 l")</f>
        <v xml:space="preserve">   Réservoirs, foudres, cuves et récipients analogues, en matières plastiques, d'une contenance &gt; 300 l</v>
      </c>
      <c r="C4221">
        <v>1695657</v>
      </c>
      <c r="D4221">
        <v>188</v>
      </c>
    </row>
    <row r="4222" spans="1:4" x14ac:dyDescent="0.25">
      <c r="A4222" t="str">
        <f>T("   392520")</f>
        <v xml:space="preserve">   392520</v>
      </c>
      <c r="B4222" t="str">
        <f>T("   Portes, fenêtres et leurs cadres, chambranles et seuils, en matières plastiques")</f>
        <v xml:space="preserve">   Portes, fenêtres et leurs cadres, chambranles et seuils, en matières plastiques</v>
      </c>
      <c r="C4222">
        <v>852749</v>
      </c>
      <c r="D4222">
        <v>240</v>
      </c>
    </row>
    <row r="4223" spans="1:4" x14ac:dyDescent="0.25">
      <c r="A4223" t="str">
        <f>T("   392590")</f>
        <v xml:space="preserve">   392590</v>
      </c>
      <c r="B4223" t="s">
        <v>144</v>
      </c>
      <c r="C4223">
        <v>43133664</v>
      </c>
      <c r="D4223">
        <v>14604</v>
      </c>
    </row>
    <row r="4224" spans="1:4" x14ac:dyDescent="0.25">
      <c r="A4224" t="str">
        <f>T("   392610")</f>
        <v xml:space="preserve">   392610</v>
      </c>
      <c r="B4224" t="str">
        <f>T("   Articles de bureau et articles scolaires, en matières plastiques, n.d.a.")</f>
        <v xml:space="preserve">   Articles de bureau et articles scolaires, en matières plastiques, n.d.a.</v>
      </c>
      <c r="C4224">
        <v>28932258</v>
      </c>
      <c r="D4224">
        <v>79775</v>
      </c>
    </row>
    <row r="4225" spans="1:4" x14ac:dyDescent="0.25">
      <c r="A4225" t="str">
        <f>T("   392620")</f>
        <v xml:space="preserve">   392620</v>
      </c>
      <c r="B4225"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4225">
        <v>23296571</v>
      </c>
      <c r="D4225">
        <v>12645</v>
      </c>
    </row>
    <row r="4226" spans="1:4" x14ac:dyDescent="0.25">
      <c r="A4226" t="str">
        <f>T("   392640")</f>
        <v xml:space="preserve">   392640</v>
      </c>
      <c r="B4226" t="str">
        <f>T("   Statuettes et autres objets d'ornementation, en matières plastiques")</f>
        <v xml:space="preserve">   Statuettes et autres objets d'ornementation, en matières plastiques</v>
      </c>
      <c r="C4226">
        <v>1334879</v>
      </c>
      <c r="D4226">
        <v>146</v>
      </c>
    </row>
    <row r="4227" spans="1:4" x14ac:dyDescent="0.25">
      <c r="A4227" t="str">
        <f>T("   392690")</f>
        <v xml:space="preserve">   392690</v>
      </c>
      <c r="B4227" t="str">
        <f>T("   Ouvrages en matières plastiques et ouvrages en autres matières du n° 3901 à 3914, n.d.a.")</f>
        <v xml:space="preserve">   Ouvrages en matières plastiques et ouvrages en autres matières du n° 3901 à 3914, n.d.a.</v>
      </c>
      <c r="C4227">
        <v>66691590</v>
      </c>
      <c r="D4227">
        <v>32200.04</v>
      </c>
    </row>
    <row r="4228" spans="1:4" x14ac:dyDescent="0.25">
      <c r="A4228" t="str">
        <f>T("   400129")</f>
        <v xml:space="preserve">   400129</v>
      </c>
      <c r="B4228" t="str">
        <f>T("   Caoutchouc naturel, sous formes primaires ou en plaques, feuilles ou bandes (à l'excl. du latex de caoutchouc naturel, même prévulcanisé, des produits sous forme de feuilles fumées ainsi que des caoutchoucs techniquement spécifiés [TSNR])")</f>
        <v xml:space="preserve">   Caoutchouc naturel, sous formes primaires ou en plaques, feuilles ou bandes (à l'excl. du latex de caoutchouc naturel, même prévulcanisé, des produits sous forme de feuilles fumées ainsi que des caoutchoucs techniquement spécifiés [TSNR])</v>
      </c>
      <c r="C4228">
        <v>1683193</v>
      </c>
      <c r="D4228">
        <v>2250</v>
      </c>
    </row>
    <row r="4229" spans="1:4" x14ac:dyDescent="0.25">
      <c r="A4229" t="str">
        <f>T("   400211")</f>
        <v xml:space="preserve">   400211</v>
      </c>
      <c r="B4229" t="str">
        <f>T("   Latex de caoutchouc styrène-butadiène [SBR] ou de caoutchouc styrène-butadiène carboxylé [XSBR]")</f>
        <v xml:space="preserve">   Latex de caoutchouc styrène-butadiène [SBR] ou de caoutchouc styrène-butadiène carboxylé [XSBR]</v>
      </c>
      <c r="C4229">
        <v>39487742</v>
      </c>
      <c r="D4229">
        <v>23659</v>
      </c>
    </row>
    <row r="4230" spans="1:4" x14ac:dyDescent="0.25">
      <c r="A4230" t="str">
        <f>T("   400270")</f>
        <v xml:space="preserve">   400270</v>
      </c>
      <c r="B4230" t="str">
        <f>T("   Caoutchouc éthylène-propylène-diène non conjugué [EPDM], sous formes primaires ou en plaques, feuilles ou bandes")</f>
        <v xml:space="preserve">   Caoutchouc éthylène-propylène-diène non conjugué [EPDM], sous formes primaires ou en plaques, feuilles ou bandes</v>
      </c>
      <c r="C4230">
        <v>441462</v>
      </c>
      <c r="D4230">
        <v>120</v>
      </c>
    </row>
    <row r="4231" spans="1:4" x14ac:dyDescent="0.25">
      <c r="A4231" t="str">
        <f>T("   400291")</f>
        <v xml:space="preserve">   400291</v>
      </c>
      <c r="B4231" t="s">
        <v>145</v>
      </c>
      <c r="C4231">
        <v>2691405</v>
      </c>
      <c r="D4231">
        <v>530</v>
      </c>
    </row>
    <row r="4232" spans="1:4" x14ac:dyDescent="0.25">
      <c r="A4232" t="str">
        <f>T("   400520")</f>
        <v xml:space="preserve">   400520</v>
      </c>
      <c r="B4232" t="s">
        <v>146</v>
      </c>
      <c r="C4232">
        <v>372585</v>
      </c>
      <c r="D4232">
        <v>101</v>
      </c>
    </row>
    <row r="4233" spans="1:4" x14ac:dyDescent="0.25">
      <c r="A4233" t="str">
        <f>T("   400690")</f>
        <v xml:space="preserve">   400690</v>
      </c>
      <c r="B4233" t="s">
        <v>148</v>
      </c>
      <c r="C4233">
        <v>2295204</v>
      </c>
      <c r="D4233">
        <v>53</v>
      </c>
    </row>
    <row r="4234" spans="1:4" x14ac:dyDescent="0.25">
      <c r="A4234" t="str">
        <f>T("   400829")</f>
        <v xml:space="preserve">   400829</v>
      </c>
      <c r="B4234" t="str">
        <f>T("   Baguettes et profilés, en caoutchouc non alvéolaire non durci")</f>
        <v xml:space="preserve">   Baguettes et profilés, en caoutchouc non alvéolaire non durci</v>
      </c>
      <c r="C4234">
        <v>4173107</v>
      </c>
      <c r="D4234">
        <v>481</v>
      </c>
    </row>
    <row r="4235" spans="1:4" x14ac:dyDescent="0.25">
      <c r="A4235" t="str">
        <f>T("   400911")</f>
        <v xml:space="preserve">   400911</v>
      </c>
      <c r="B4235"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4235">
        <v>45775662</v>
      </c>
      <c r="D4235">
        <v>9830</v>
      </c>
    </row>
    <row r="4236" spans="1:4" x14ac:dyDescent="0.25">
      <c r="A4236" t="str">
        <f>T("   400912")</f>
        <v xml:space="preserve">   400912</v>
      </c>
      <c r="B4236"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4236">
        <v>2945190</v>
      </c>
      <c r="D4236">
        <v>410</v>
      </c>
    </row>
    <row r="4237" spans="1:4" x14ac:dyDescent="0.25">
      <c r="A4237" t="str">
        <f>T("   400921")</f>
        <v xml:space="preserve">   400921</v>
      </c>
      <c r="B4237" t="str">
        <f>T("   Tubes et tuyaux en caoutchouc vulcanisé non durci, renforcés seulement à l'aide de métal ou autrement associés seulement à du métal, sans accessoires")</f>
        <v xml:space="preserve">   Tubes et tuyaux en caoutchouc vulcanisé non durci, renforcés seulement à l'aide de métal ou autrement associés seulement à du métal, sans accessoires</v>
      </c>
      <c r="C4237">
        <v>15588232</v>
      </c>
      <c r="D4237">
        <v>1394</v>
      </c>
    </row>
    <row r="4238" spans="1:4" x14ac:dyDescent="0.25">
      <c r="A4238" t="str">
        <f>T("   400922")</f>
        <v xml:space="preserve">   400922</v>
      </c>
      <c r="B4238" t="str">
        <f>T("   TUBES ET TUYAUX EN CAOUTCHOUC VULCANISÉ NON DURCI, RENFORCÉS SEULEMENT À L'AIDE DE MÉTAL OU AUTREMENT ASSOCIÉS SEULEMENT À DU MÉTAL, AVEC ACCESSOIRES [JOINTS, COUDES, RACCORDS, PAR EXEMPLE]")</f>
        <v xml:space="preserve">   TUBES ET TUYAUX EN CAOUTCHOUC VULCANISÉ NON DURCI, RENFORCÉS SEULEMENT À L'AIDE DE MÉTAL OU AUTREMENT ASSOCIÉS SEULEMENT À DU MÉTAL, AVEC ACCESSOIRES [JOINTS, COUDES, RACCORDS, PAR EXEMPLE]</v>
      </c>
      <c r="C4238">
        <v>5728499</v>
      </c>
      <c r="D4238">
        <v>1431</v>
      </c>
    </row>
    <row r="4239" spans="1:4" x14ac:dyDescent="0.25">
      <c r="A4239" t="str">
        <f>T("   400931")</f>
        <v xml:space="preserve">   400931</v>
      </c>
      <c r="B4239" t="str">
        <f>T("   Tubes et tuyaux en caoutchouc vulcanisé non durci, renforcés seulement à l'aide de matières textiles ou autrement associés seulement à des matières textiles, sans accessoires")</f>
        <v xml:space="preserve">   Tubes et tuyaux en caoutchouc vulcanisé non durci, renforcés seulement à l'aide de matières textiles ou autrement associés seulement à des matières textiles, sans accessoires</v>
      </c>
      <c r="C4239">
        <v>3937073</v>
      </c>
      <c r="D4239">
        <v>768</v>
      </c>
    </row>
    <row r="4240" spans="1:4" x14ac:dyDescent="0.25">
      <c r="A4240" t="str">
        <f>T("   400941")</f>
        <v xml:space="preserve">   400941</v>
      </c>
      <c r="B4240"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4240">
        <v>3703550</v>
      </c>
      <c r="D4240">
        <v>55</v>
      </c>
    </row>
    <row r="4241" spans="1:4" x14ac:dyDescent="0.25">
      <c r="A4241" t="str">
        <f>T("   400942")</f>
        <v xml:space="preserve">   400942</v>
      </c>
      <c r="B4241" t="s">
        <v>150</v>
      </c>
      <c r="C4241">
        <v>392474</v>
      </c>
      <c r="D4241">
        <v>7</v>
      </c>
    </row>
    <row r="4242" spans="1:4" x14ac:dyDescent="0.25">
      <c r="A4242" t="str">
        <f>T("   401012")</f>
        <v xml:space="preserve">   401012</v>
      </c>
      <c r="B4242" t="str">
        <f>T("   Courroies transporteuses, en caoutchouc vulcanisé, renforcées seulement de matières textiles")</f>
        <v xml:space="preserve">   Courroies transporteuses, en caoutchouc vulcanisé, renforcées seulement de matières textiles</v>
      </c>
      <c r="C4242">
        <v>33781942</v>
      </c>
      <c r="D4242">
        <v>7673</v>
      </c>
    </row>
    <row r="4243" spans="1:4" x14ac:dyDescent="0.25">
      <c r="A4243" t="str">
        <f>T("   401019")</f>
        <v xml:space="preserve">   401019</v>
      </c>
      <c r="B4243"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4243">
        <v>42904837</v>
      </c>
      <c r="D4243">
        <v>15576</v>
      </c>
    </row>
    <row r="4244" spans="1:4" x14ac:dyDescent="0.25">
      <c r="A4244" t="str">
        <f>T("   401031")</f>
        <v xml:space="preserve">   401031</v>
      </c>
      <c r="B4244" t="str">
        <f>T("   Courroies de transmission sans fin de section trapézoïdale, en caoutchouc vulcanisé, striées, d'une circonférence extérieure &gt; 60 cm mais &lt;= 180 cm")</f>
        <v xml:space="preserve">   Courroies de transmission sans fin de section trapézoïdale, en caoutchouc vulcanisé, striées, d'une circonférence extérieure &gt; 60 cm mais &lt;= 180 cm</v>
      </c>
      <c r="C4244">
        <v>12243494</v>
      </c>
      <c r="D4244">
        <v>710</v>
      </c>
    </row>
    <row r="4245" spans="1:4" x14ac:dyDescent="0.25">
      <c r="A4245" t="str">
        <f>T("   401039")</f>
        <v xml:space="preserve">   401039</v>
      </c>
      <c r="B4245" t="s">
        <v>151</v>
      </c>
      <c r="C4245">
        <v>21183453</v>
      </c>
      <c r="D4245">
        <v>1737.5</v>
      </c>
    </row>
    <row r="4246" spans="1:4" x14ac:dyDescent="0.25">
      <c r="A4246" t="str">
        <f>T("   401110")</f>
        <v xml:space="preserve">   401110</v>
      </c>
      <c r="B4246"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4246">
        <v>3794073</v>
      </c>
      <c r="D4246">
        <v>822</v>
      </c>
    </row>
    <row r="4247" spans="1:4" x14ac:dyDescent="0.25">
      <c r="A4247" t="str">
        <f>T("   401120")</f>
        <v xml:space="preserve">   401120</v>
      </c>
      <c r="B4247"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4247">
        <v>43491242</v>
      </c>
      <c r="D4247">
        <v>11548</v>
      </c>
    </row>
    <row r="4248" spans="1:4" x14ac:dyDescent="0.25">
      <c r="A4248" t="str">
        <f>T("   401140")</f>
        <v xml:space="preserve">   401140</v>
      </c>
      <c r="B4248" t="str">
        <f>T("   Pneumatiques neufs, en caoutchouc, des types utilisés pour les motocycles")</f>
        <v xml:space="preserve">   Pneumatiques neufs, en caoutchouc, des types utilisés pour les motocycles</v>
      </c>
      <c r="C4248">
        <v>1582983</v>
      </c>
      <c r="D4248">
        <v>206</v>
      </c>
    </row>
    <row r="4249" spans="1:4" x14ac:dyDescent="0.25">
      <c r="A4249" t="str">
        <f>T("   401162")</f>
        <v xml:space="preserve">   401162</v>
      </c>
      <c r="B4249" t="str">
        <f>T("   Pneumatiques neufs, en caoutchouc, à crampons, à chevrons ou simil., des types utilisés pour les véhicules et engins de génie civil et de manutention industrielle, pour jantes d'un diamètre &lt;= 61 cm")</f>
        <v xml:space="preserve">   Pneumatiques neufs, en caoutchouc, à crampons, à chevrons ou simil., des types utilisés pour les véhicules et engins de génie civil et de manutention industrielle, pour jantes d'un diamètre &lt;= 61 cm</v>
      </c>
      <c r="C4249">
        <v>821918</v>
      </c>
      <c r="D4249">
        <v>106</v>
      </c>
    </row>
    <row r="4250" spans="1:4" x14ac:dyDescent="0.25">
      <c r="A4250" t="str">
        <f>T("   401163")</f>
        <v xml:space="preserve">   401163</v>
      </c>
      <c r="B4250" t="str">
        <f>T("   Pneumatiques neufs, en caoutchouc, à crampons, à chevrons ou simil., des types utilisés pour les véhicules et engins de génie civil et de manutention industrielle, pour jantes d'un diamètre &gt; 61 cm")</f>
        <v xml:space="preserve">   Pneumatiques neufs, en caoutchouc, à crampons, à chevrons ou simil., des types utilisés pour les véhicules et engins de génie civil et de manutention industrielle, pour jantes d'un diamètre &gt; 61 cm</v>
      </c>
      <c r="C4250">
        <v>31537246</v>
      </c>
      <c r="D4250">
        <v>7678</v>
      </c>
    </row>
    <row r="4251" spans="1:4" x14ac:dyDescent="0.25">
      <c r="A4251" t="str">
        <f>T("   401193")</f>
        <v xml:space="preserve">   401193</v>
      </c>
      <c r="B4251" t="str">
        <f>T("   Pneumatiques neufs, en caoutchouc, des types utilisés pour les véhicules et engins de génie civil et de manutention industrielle, pour jantes d'un diamètre &lt;= 61 cm (à l'excl. des pneumatiques à crampons, à chevrons ou simil.)")</f>
        <v xml:space="preserve">   Pneumatiques neufs, en caoutchouc, des types utilisés pour les véhicules et engins de génie civil et de manutention industrielle, pour jantes d'un diamètre &lt;= 61 cm (à l'excl. des pneumatiques à crampons, à chevrons ou simil.)</v>
      </c>
      <c r="C4251">
        <v>28014274</v>
      </c>
      <c r="D4251">
        <v>5351</v>
      </c>
    </row>
    <row r="4252" spans="1:4" x14ac:dyDescent="0.25">
      <c r="A4252" t="str">
        <f>T("   401199")</f>
        <v xml:space="preserve">   401199</v>
      </c>
      <c r="B4252" t="s">
        <v>152</v>
      </c>
      <c r="C4252">
        <v>417045594</v>
      </c>
      <c r="D4252">
        <v>92864</v>
      </c>
    </row>
    <row r="4253" spans="1:4" x14ac:dyDescent="0.25">
      <c r="A4253" t="str">
        <f>T("   401211")</f>
        <v xml:space="preserve">   401211</v>
      </c>
      <c r="B4253"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4253">
        <v>394950015</v>
      </c>
      <c r="D4253">
        <v>991845</v>
      </c>
    </row>
    <row r="4254" spans="1:4" x14ac:dyDescent="0.25">
      <c r="A4254" t="str">
        <f>T("   401212")</f>
        <v xml:space="preserve">   401212</v>
      </c>
      <c r="B4254" t="str">
        <f>T("   Pneumatiques rechapés, en caoutchouc, des types utilisés pour les autobus ou camions")</f>
        <v xml:space="preserve">   Pneumatiques rechapés, en caoutchouc, des types utilisés pour les autobus ou camions</v>
      </c>
      <c r="C4254">
        <v>4235063</v>
      </c>
      <c r="D4254">
        <v>15500</v>
      </c>
    </row>
    <row r="4255" spans="1:4" x14ac:dyDescent="0.25">
      <c r="A4255" t="str">
        <f>T("   401219")</f>
        <v xml:space="preserve">   401219</v>
      </c>
      <c r="B4255"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4255">
        <v>48517140</v>
      </c>
      <c r="D4255">
        <v>123983</v>
      </c>
    </row>
    <row r="4256" spans="1:4" x14ac:dyDescent="0.25">
      <c r="A4256" t="str">
        <f>T("   401220")</f>
        <v xml:space="preserve">   401220</v>
      </c>
      <c r="B4256" t="str">
        <f>T("   Pneumatiques usagés, en caoutchouc")</f>
        <v xml:space="preserve">   Pneumatiques usagés, en caoutchouc</v>
      </c>
      <c r="C4256">
        <v>1542566233</v>
      </c>
      <c r="D4256">
        <v>4318032</v>
      </c>
    </row>
    <row r="4257" spans="1:4" x14ac:dyDescent="0.25">
      <c r="A4257" t="str">
        <f>T("   401290")</f>
        <v xml:space="preserve">   401290</v>
      </c>
      <c r="B4257" t="str">
        <f>T("   Bandages pleins ou creux [mi-pleins], bandes de roulement amovibles pour pneumatiques et flaps, en caoutchouc")</f>
        <v xml:space="preserve">   Bandages pleins ou creux [mi-pleins], bandes de roulement amovibles pour pneumatiques et flaps, en caoutchouc</v>
      </c>
      <c r="C4257">
        <v>17901363</v>
      </c>
      <c r="D4257">
        <v>27335</v>
      </c>
    </row>
    <row r="4258" spans="1:4" x14ac:dyDescent="0.25">
      <c r="A4258" t="str">
        <f>T("   401310")</f>
        <v xml:space="preserve">   401310</v>
      </c>
      <c r="B4258"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4258">
        <v>38541457</v>
      </c>
      <c r="D4258">
        <v>99635</v>
      </c>
    </row>
    <row r="4259" spans="1:4" x14ac:dyDescent="0.25">
      <c r="A4259" t="str">
        <f>T("   401320")</f>
        <v xml:space="preserve">   401320</v>
      </c>
      <c r="B4259" t="str">
        <f>T("   Chambres à air, en caoutchouc, des types utilisés pour les bicyclettes")</f>
        <v xml:space="preserve">   Chambres à air, en caoutchouc, des types utilisés pour les bicyclettes</v>
      </c>
      <c r="C4259">
        <v>100362</v>
      </c>
      <c r="D4259">
        <v>1956</v>
      </c>
    </row>
    <row r="4260" spans="1:4" x14ac:dyDescent="0.25">
      <c r="A4260" t="str">
        <f>T("   401390")</f>
        <v xml:space="preserve">   401390</v>
      </c>
      <c r="B4260"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4260">
        <v>12699464</v>
      </c>
      <c r="D4260">
        <v>142585</v>
      </c>
    </row>
    <row r="4261" spans="1:4" x14ac:dyDescent="0.25">
      <c r="A4261" t="str">
        <f>T("   401410")</f>
        <v xml:space="preserve">   401410</v>
      </c>
      <c r="B4261" t="str">
        <f>T("   Préservatifs en caoutchouc vulcanisé non durci")</f>
        <v xml:space="preserve">   Préservatifs en caoutchouc vulcanisé non durci</v>
      </c>
      <c r="C4261">
        <v>82042677</v>
      </c>
      <c r="D4261">
        <v>7417</v>
      </c>
    </row>
    <row r="4262" spans="1:4" x14ac:dyDescent="0.25">
      <c r="A4262" t="str">
        <f>T("   401490")</f>
        <v xml:space="preserve">   401490</v>
      </c>
      <c r="B4262" t="str">
        <f>T("   ARTICLES D'HYGIÈNE OU DE PHARMACIE, Y.C. LES TÉTINES, EN CAOUTCHOUC VULCANISÉ NON-DURCI, MÊME AVEC PARTIES EN CAOUTCHOUC DURCI, N.D.A. (À L'EXCL. DES PRÉSERVATIFS AINSI QUE DES VÊTEMENTS ET ACCESSOIRES DU VÊTEMENT, Y.C. LES GANTS, POUR TOUS USAGES)")</f>
        <v xml:space="preserve">   ARTICLES D'HYGIÈNE OU DE PHARMACIE, Y.C. LES TÉTINES, EN CAOUTCHOUC VULCANISÉ NON-DURCI, MÊME AVEC PARTIES EN CAOUTCHOUC DURCI, N.D.A. (À L'EXCL. DES PRÉSERVATIFS AINSI QUE DES VÊTEMENTS ET ACCESSOIRES DU VÊTEMENT, Y.C. LES GANTS, POUR TOUS USAGES)</v>
      </c>
      <c r="C4262">
        <v>13841390</v>
      </c>
      <c r="D4262">
        <v>2040</v>
      </c>
    </row>
    <row r="4263" spans="1:4" x14ac:dyDescent="0.25">
      <c r="A4263" t="str">
        <f>T("   401511")</f>
        <v xml:space="preserve">   401511</v>
      </c>
      <c r="B4263" t="str">
        <f>T("   Gants en caoutchouc vulcanisé non durci, pour la chirurgie")</f>
        <v xml:space="preserve">   Gants en caoutchouc vulcanisé non durci, pour la chirurgie</v>
      </c>
      <c r="C4263">
        <v>1862653</v>
      </c>
      <c r="D4263">
        <v>230</v>
      </c>
    </row>
    <row r="4264" spans="1:4" x14ac:dyDescent="0.25">
      <c r="A4264" t="str">
        <f>T("   401519")</f>
        <v xml:space="preserve">   401519</v>
      </c>
      <c r="B4264" t="str">
        <f>T("   GANTS, MITAINES ET MOUFLES, EN CAOUTCHOUC VULCANISÉ NON-DURCI (À L'EXCL. DES GANTS POUR LA CHIRURGIE)")</f>
        <v xml:space="preserve">   GANTS, MITAINES ET MOUFLES, EN CAOUTCHOUC VULCANISÉ NON-DURCI (À L'EXCL. DES GANTS POUR LA CHIRURGIE)</v>
      </c>
      <c r="C4264">
        <v>10976743</v>
      </c>
      <c r="D4264">
        <v>3056</v>
      </c>
    </row>
    <row r="4265" spans="1:4" x14ac:dyDescent="0.25">
      <c r="A4265" t="str">
        <f>T("   401590")</f>
        <v xml:space="preserve">   401590</v>
      </c>
      <c r="B4265" t="str">
        <f>T("   Vêtements et accessoires du vêtement en caoutchouc vulcanisé non durci, pour tous usages (à l'excl. des gants, mitaines et moufles, des chaussures ou des coiffures ainsi que des parties de chaussures ou de coiffures)")</f>
        <v xml:space="preserve">   Vêtements et accessoires du vêtement en caoutchouc vulcanisé non durci, pour tous usages (à l'excl. des gants, mitaines et moufles, des chaussures ou des coiffures ainsi que des parties de chaussures ou de coiffures)</v>
      </c>
      <c r="C4265">
        <v>4554330</v>
      </c>
      <c r="D4265">
        <v>643</v>
      </c>
    </row>
    <row r="4266" spans="1:4" x14ac:dyDescent="0.25">
      <c r="A4266" t="str">
        <f>T("   401691")</f>
        <v xml:space="preserve">   401691</v>
      </c>
      <c r="B4266" t="s">
        <v>153</v>
      </c>
      <c r="C4266">
        <v>2778646</v>
      </c>
      <c r="D4266">
        <v>1558</v>
      </c>
    </row>
    <row r="4267" spans="1:4" x14ac:dyDescent="0.25">
      <c r="A4267" t="str">
        <f>T("   401692")</f>
        <v xml:space="preserve">   401692</v>
      </c>
      <c r="B4267" t="str">
        <f>T("   Gommes à effacer, en caoutchouc vulcanisé non durci, prêtes à l'emploi (à l'excl. des articles simplement découpés de forme carrée ou rectangulaire)")</f>
        <v xml:space="preserve">   Gommes à effacer, en caoutchouc vulcanisé non durci, prêtes à l'emploi (à l'excl. des articles simplement découpés de forme carrée ou rectangulaire)</v>
      </c>
      <c r="C4267">
        <v>1936112</v>
      </c>
      <c r="D4267">
        <v>4893</v>
      </c>
    </row>
    <row r="4268" spans="1:4" x14ac:dyDescent="0.25">
      <c r="A4268" t="str">
        <f>T("   401693")</f>
        <v xml:space="preserve">   401693</v>
      </c>
      <c r="B4268" t="str">
        <f>T("   Joints en caoutchouc vulcanisé non durci (à l'excl. des articles en caoutchouc alvéolaire)")</f>
        <v xml:space="preserve">   Joints en caoutchouc vulcanisé non durci (à l'excl. des articles en caoutchouc alvéolaire)</v>
      </c>
      <c r="C4268">
        <v>27913131</v>
      </c>
      <c r="D4268">
        <v>6943.35</v>
      </c>
    </row>
    <row r="4269" spans="1:4" x14ac:dyDescent="0.25">
      <c r="A4269" t="str">
        <f>T("   401699")</f>
        <v xml:space="preserve">   401699</v>
      </c>
      <c r="B4269" t="str">
        <f>T("   OUVRAGES EN CAOUTCHOUC VULCANISÉ NON-DURCI, N.D.A.")</f>
        <v xml:space="preserve">   OUVRAGES EN CAOUTCHOUC VULCANISÉ NON-DURCI, N.D.A.</v>
      </c>
      <c r="C4269">
        <v>69970258</v>
      </c>
      <c r="D4269">
        <v>20074</v>
      </c>
    </row>
    <row r="4270" spans="1:4" x14ac:dyDescent="0.25">
      <c r="A4270" t="str">
        <f>T("   420100")</f>
        <v xml:space="preserve">   420100</v>
      </c>
      <c r="B4270" t="s">
        <v>156</v>
      </c>
      <c r="C4270">
        <v>9511422</v>
      </c>
      <c r="D4270">
        <v>875</v>
      </c>
    </row>
    <row r="4271" spans="1:4" x14ac:dyDescent="0.25">
      <c r="A4271" t="str">
        <f>T("   420212")</f>
        <v xml:space="preserve">   420212</v>
      </c>
      <c r="B4271"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4271">
        <v>2675006</v>
      </c>
      <c r="D4271">
        <v>2046</v>
      </c>
    </row>
    <row r="4272" spans="1:4" x14ac:dyDescent="0.25">
      <c r="A4272" t="str">
        <f>T("   420219")</f>
        <v xml:space="preserve">   420219</v>
      </c>
      <c r="B4272" t="s">
        <v>157</v>
      </c>
      <c r="C4272">
        <v>2844270</v>
      </c>
      <c r="D4272">
        <v>7045</v>
      </c>
    </row>
    <row r="4273" spans="1:4" x14ac:dyDescent="0.25">
      <c r="A4273" t="str">
        <f>T("   420221")</f>
        <v xml:space="preserve">   420221</v>
      </c>
      <c r="B4273"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4273">
        <v>3722706</v>
      </c>
      <c r="D4273">
        <v>201</v>
      </c>
    </row>
    <row r="4274" spans="1:4" x14ac:dyDescent="0.25">
      <c r="A4274" t="str">
        <f>T("   420222")</f>
        <v xml:space="preserve">   420222</v>
      </c>
      <c r="B4274"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4274">
        <v>74123</v>
      </c>
      <c r="D4274">
        <v>1510</v>
      </c>
    </row>
    <row r="4275" spans="1:4" x14ac:dyDescent="0.25">
      <c r="A4275" t="str">
        <f>T("   420229")</f>
        <v xml:space="preserve">   420229</v>
      </c>
      <c r="B4275"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4275">
        <v>25614299</v>
      </c>
      <c r="D4275">
        <v>11726</v>
      </c>
    </row>
    <row r="4276" spans="1:4" x14ac:dyDescent="0.25">
      <c r="A4276" t="str">
        <f>T("   420232")</f>
        <v xml:space="preserve">   420232</v>
      </c>
      <c r="B4276"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4276">
        <v>1601579</v>
      </c>
      <c r="D4276">
        <v>286</v>
      </c>
    </row>
    <row r="4277" spans="1:4" x14ac:dyDescent="0.25">
      <c r="A4277" t="str">
        <f>T("   420239")</f>
        <v xml:space="preserve">   420239</v>
      </c>
      <c r="B4277" t="s">
        <v>158</v>
      </c>
      <c r="C4277">
        <v>2228295</v>
      </c>
      <c r="D4277">
        <v>282.5</v>
      </c>
    </row>
    <row r="4278" spans="1:4" x14ac:dyDescent="0.25">
      <c r="A4278" t="str">
        <f>T("   420291")</f>
        <v xml:space="preserve">   420291</v>
      </c>
      <c r="B4278" t="s">
        <v>159</v>
      </c>
      <c r="C4278">
        <v>1063311</v>
      </c>
      <c r="D4278">
        <v>24</v>
      </c>
    </row>
    <row r="4279" spans="1:4" x14ac:dyDescent="0.25">
      <c r="A4279" t="str">
        <f>T("   420292")</f>
        <v xml:space="preserve">   420292</v>
      </c>
      <c r="B4279" t="s">
        <v>159</v>
      </c>
      <c r="C4279">
        <v>10782017</v>
      </c>
      <c r="D4279">
        <v>2373</v>
      </c>
    </row>
    <row r="4280" spans="1:4" x14ac:dyDescent="0.25">
      <c r="A4280" t="str">
        <f>T("   420299")</f>
        <v xml:space="preserve">   420299</v>
      </c>
      <c r="B4280" t="s">
        <v>160</v>
      </c>
      <c r="C4280">
        <v>14636547</v>
      </c>
      <c r="D4280">
        <v>1506</v>
      </c>
    </row>
    <row r="4281" spans="1:4" x14ac:dyDescent="0.25">
      <c r="A4281" t="str">
        <f>T("   420310")</f>
        <v xml:space="preserve">   420310</v>
      </c>
      <c r="B4281" t="str">
        <f>T("   Vêtements, en cuir naturel ou reconstitué (à l'excl. des accessoires du vêtement, des chaussures ou des coiffures et leurs parties ainsi que des articles du chapitre 95 [p.ex.les protège-tibias ou les masques d'escrime])")</f>
        <v xml:space="preserve">   Vêtements, en cuir naturel ou reconstitué (à l'excl. des accessoires du vêtement, des chaussures ou des coiffures et leurs parties ainsi que des articles du chapitre 95 [p.ex.les protège-tibias ou les masques d'escrime])</v>
      </c>
      <c r="C4281">
        <v>906354</v>
      </c>
      <c r="D4281">
        <v>291</v>
      </c>
    </row>
    <row r="4282" spans="1:4" x14ac:dyDescent="0.25">
      <c r="A4282" t="str">
        <f>T("   420329")</f>
        <v xml:space="preserve">   420329</v>
      </c>
      <c r="B4282"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4282">
        <v>4851494</v>
      </c>
      <c r="D4282">
        <v>842</v>
      </c>
    </row>
    <row r="4283" spans="1:4" x14ac:dyDescent="0.25">
      <c r="A4283" t="str">
        <f>T("   420330")</f>
        <v xml:space="preserve">   420330</v>
      </c>
      <c r="B4283" t="str">
        <f>T("   Ceintures, ceinturons et baudriers, en cuir naturel ou reconstitué")</f>
        <v xml:space="preserve">   Ceintures, ceinturons et baudriers, en cuir naturel ou reconstitué</v>
      </c>
      <c r="C4283">
        <v>334277</v>
      </c>
      <c r="D4283">
        <v>59</v>
      </c>
    </row>
    <row r="4284" spans="1:4" x14ac:dyDescent="0.25">
      <c r="A4284" t="str">
        <f>T("   420340")</f>
        <v xml:space="preserve">   420340</v>
      </c>
      <c r="B4284" t="s">
        <v>161</v>
      </c>
      <c r="C4284">
        <v>2675005</v>
      </c>
      <c r="D4284">
        <v>65</v>
      </c>
    </row>
    <row r="4285" spans="1:4" x14ac:dyDescent="0.25">
      <c r="A4285" t="str">
        <f>T("   420500")</f>
        <v xml:space="preserve">   420500</v>
      </c>
      <c r="B4285" t="s">
        <v>162</v>
      </c>
      <c r="C4285">
        <v>576589</v>
      </c>
      <c r="D4285">
        <v>140</v>
      </c>
    </row>
    <row r="4286" spans="1:4" x14ac:dyDescent="0.25">
      <c r="A4286" t="str">
        <f>T("   440799")</f>
        <v xml:space="preserve">   440799</v>
      </c>
      <c r="B4286" t="s">
        <v>166</v>
      </c>
      <c r="C4286">
        <v>7730672</v>
      </c>
      <c r="D4286">
        <v>16525</v>
      </c>
    </row>
    <row r="4287" spans="1:4" x14ac:dyDescent="0.25">
      <c r="A4287" t="str">
        <f>T("   440920")</f>
        <v xml:space="preserve">   440920</v>
      </c>
      <c r="B4287" t="s">
        <v>168</v>
      </c>
      <c r="C4287">
        <v>4203989</v>
      </c>
      <c r="D4287">
        <v>780</v>
      </c>
    </row>
    <row r="4288" spans="1:4" x14ac:dyDescent="0.25">
      <c r="A4288" t="str">
        <f>T("   441199")</f>
        <v xml:space="preserve">   441199</v>
      </c>
      <c r="B4288" t="s">
        <v>175</v>
      </c>
      <c r="C4288">
        <v>5558605</v>
      </c>
      <c r="D4288">
        <v>38100</v>
      </c>
    </row>
    <row r="4289" spans="1:4" x14ac:dyDescent="0.25">
      <c r="A4289" t="str">
        <f>T("   441219")</f>
        <v xml:space="preserve">   441219</v>
      </c>
      <c r="B4289" t="s">
        <v>178</v>
      </c>
      <c r="C4289">
        <v>29841455</v>
      </c>
      <c r="D4289">
        <v>103800</v>
      </c>
    </row>
    <row r="4290" spans="1:4" x14ac:dyDescent="0.25">
      <c r="A4290" t="str">
        <f>T("   441299")</f>
        <v xml:space="preserve">   441299</v>
      </c>
      <c r="B4290" t="s">
        <v>180</v>
      </c>
      <c r="C4290">
        <v>21456856</v>
      </c>
      <c r="D4290">
        <v>78000</v>
      </c>
    </row>
    <row r="4291" spans="1:4" x14ac:dyDescent="0.25">
      <c r="A4291" t="str">
        <f>T("   441300")</f>
        <v xml:space="preserve">   441300</v>
      </c>
      <c r="B4291" t="str">
        <f>T("   Bois dits 'densifiés', en blocs, planches, lames ou profilés")</f>
        <v xml:space="preserve">   Bois dits 'densifiés', en blocs, planches, lames ou profilés</v>
      </c>
      <c r="C4291">
        <v>39351</v>
      </c>
      <c r="D4291">
        <v>399</v>
      </c>
    </row>
    <row r="4292" spans="1:4" x14ac:dyDescent="0.25">
      <c r="A4292" t="str">
        <f>T("   441400")</f>
        <v xml:space="preserve">   441400</v>
      </c>
      <c r="B4292" t="str">
        <f>T("   Cadres en bois pour tableaux, photographies, miroirs ou objets simil.")</f>
        <v xml:space="preserve">   Cadres en bois pour tableaux, photographies, miroirs ou objets simil.</v>
      </c>
      <c r="C4292">
        <v>7321825</v>
      </c>
      <c r="D4292">
        <v>2112</v>
      </c>
    </row>
    <row r="4293" spans="1:4" x14ac:dyDescent="0.25">
      <c r="A4293" t="str">
        <f>T("   441510")</f>
        <v xml:space="preserve">   441510</v>
      </c>
      <c r="B4293" t="str">
        <f>T("   Caisses, caissettes, cageots, cylindres et emballages simil., en bois; tambours [tourets] pour câbles, en bois")</f>
        <v xml:space="preserve">   Caisses, caissettes, cageots, cylindres et emballages simil., en bois; tambours [tourets] pour câbles, en bois</v>
      </c>
      <c r="C4293">
        <v>6679497</v>
      </c>
      <c r="D4293">
        <v>6946</v>
      </c>
    </row>
    <row r="4294" spans="1:4" x14ac:dyDescent="0.25">
      <c r="A4294" t="str">
        <f>T("   441700")</f>
        <v xml:space="preserve">   441700</v>
      </c>
      <c r="B4294" t="s">
        <v>181</v>
      </c>
      <c r="C4294">
        <v>5604063</v>
      </c>
      <c r="D4294">
        <v>5459</v>
      </c>
    </row>
    <row r="4295" spans="1:4" x14ac:dyDescent="0.25">
      <c r="A4295" t="str">
        <f>T("   441810")</f>
        <v xml:space="preserve">   441810</v>
      </c>
      <c r="B4295" t="str">
        <f>T("   Fenêtres, portes-fenêtres et leurs cadres et chambranles, en bois")</f>
        <v xml:space="preserve">   Fenêtres, portes-fenêtres et leurs cadres et chambranles, en bois</v>
      </c>
      <c r="C4295">
        <v>150215</v>
      </c>
      <c r="D4295">
        <v>295</v>
      </c>
    </row>
    <row r="4296" spans="1:4" x14ac:dyDescent="0.25">
      <c r="A4296" t="str">
        <f>T("   441820")</f>
        <v xml:space="preserve">   441820</v>
      </c>
      <c r="B4296" t="str">
        <f>T("   Portes et leurs cadres, chambranles et seuils, en bois")</f>
        <v xml:space="preserve">   Portes et leurs cadres, chambranles et seuils, en bois</v>
      </c>
      <c r="C4296">
        <v>1668480</v>
      </c>
      <c r="D4296">
        <v>1800</v>
      </c>
    </row>
    <row r="4297" spans="1:4" x14ac:dyDescent="0.25">
      <c r="A4297" t="str">
        <f>T("   441890")</f>
        <v xml:space="preserve">   441890</v>
      </c>
      <c r="B4297" t="s">
        <v>182</v>
      </c>
      <c r="C4297">
        <v>2676987</v>
      </c>
      <c r="D4297">
        <v>2017</v>
      </c>
    </row>
    <row r="4298" spans="1:4" x14ac:dyDescent="0.25">
      <c r="A4298" t="str">
        <f>T("   441900")</f>
        <v xml:space="preserve">   441900</v>
      </c>
      <c r="B4298" t="s">
        <v>183</v>
      </c>
      <c r="C4298">
        <v>311582</v>
      </c>
      <c r="D4298">
        <v>105</v>
      </c>
    </row>
    <row r="4299" spans="1:4" x14ac:dyDescent="0.25">
      <c r="A4299" t="str">
        <f>T("   442010")</f>
        <v xml:space="preserve">   442010</v>
      </c>
      <c r="B4299" t="str">
        <f>T("   Statuettes et autres objets d'ornement, en bois (autres que marquetés ou incrustés)")</f>
        <v xml:space="preserve">   Statuettes et autres objets d'ornement, en bois (autres que marquetés ou incrustés)</v>
      </c>
      <c r="C4299">
        <v>327980</v>
      </c>
      <c r="D4299">
        <v>50</v>
      </c>
    </row>
    <row r="4300" spans="1:4" x14ac:dyDescent="0.25">
      <c r="A4300" t="str">
        <f>T("   442090")</f>
        <v xml:space="preserve">   442090</v>
      </c>
      <c r="B4300" t="s">
        <v>184</v>
      </c>
      <c r="C4300">
        <v>62316</v>
      </c>
      <c r="D4300">
        <v>14</v>
      </c>
    </row>
    <row r="4301" spans="1:4" x14ac:dyDescent="0.25">
      <c r="A4301" t="str">
        <f>T("   442190")</f>
        <v xml:space="preserve">   442190</v>
      </c>
      <c r="B4301" t="str">
        <f>T("   Ouvrages, en bois, n.d.a.")</f>
        <v xml:space="preserve">   Ouvrages, en bois, n.d.a.</v>
      </c>
      <c r="C4301">
        <v>18118378</v>
      </c>
      <c r="D4301">
        <v>4247</v>
      </c>
    </row>
    <row r="4302" spans="1:4" x14ac:dyDescent="0.25">
      <c r="A4302" t="str">
        <f>T("   470429")</f>
        <v xml:space="preserve">   470429</v>
      </c>
      <c r="B4302" t="str">
        <f>T("   Pâtes chimiques de bois, au bisulfite, mi-blanchies ou blanchies (à l'excl. des pâtes à dissoudre et des pâtes de bois de conifères)")</f>
        <v xml:space="preserve">   Pâtes chimiques de bois, au bisulfite, mi-blanchies ou blanchies (à l'excl. des pâtes à dissoudre et des pâtes de bois de conifères)</v>
      </c>
      <c r="C4302">
        <v>3830151</v>
      </c>
      <c r="D4302">
        <v>1400</v>
      </c>
    </row>
    <row r="4303" spans="1:4" x14ac:dyDescent="0.25">
      <c r="A4303" t="str">
        <f>T("   480100")</f>
        <v xml:space="preserve">   480100</v>
      </c>
      <c r="B4303"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4303">
        <v>28449790</v>
      </c>
      <c r="D4303">
        <v>76368</v>
      </c>
    </row>
    <row r="4304" spans="1:4" x14ac:dyDescent="0.25">
      <c r="A4304" t="str">
        <f>T("   480210")</f>
        <v xml:space="preserve">   480210</v>
      </c>
      <c r="B4304" t="str">
        <f>T("   Papiers et cartons formés feuille à feuille [papiers à la main], de tout format et de toute forme")</f>
        <v xml:space="preserve">   Papiers et cartons formés feuille à feuille [papiers à la main], de tout format et de toute forme</v>
      </c>
      <c r="C4304">
        <v>896205</v>
      </c>
      <c r="D4304">
        <v>567</v>
      </c>
    </row>
    <row r="4305" spans="1:4" x14ac:dyDescent="0.25">
      <c r="A4305" t="str">
        <f>T("   480220")</f>
        <v xml:space="preserve">   480220</v>
      </c>
      <c r="B4305" t="str">
        <f>T("   Papiers et cartons supports pour papiers ou cartons photosensibles, sensibles à la chaleur ou électrosensibles, non couchés ni enduits, en rouleaux ou en feuilles de forme carrée ou rectangulaire, de tout format")</f>
        <v xml:space="preserve">   Papiers et cartons supports pour papiers ou cartons photosensibles, sensibles à la chaleur ou électrosensibles, non couchés ni enduits, en rouleaux ou en feuilles de forme carrée ou rectangulaire, de tout format</v>
      </c>
      <c r="C4305">
        <v>2098415</v>
      </c>
      <c r="D4305">
        <v>972</v>
      </c>
    </row>
    <row r="4306" spans="1:4" x14ac:dyDescent="0.25">
      <c r="A4306" t="str">
        <f>T("   480240")</f>
        <v xml:space="preserve">   480240</v>
      </c>
      <c r="B4306" t="str">
        <f>T("   PAPIERS SUPPORTS POUR PAPIERS PEINTS, NON-COUCHÉS NI ENDUITS")</f>
        <v xml:space="preserve">   PAPIERS SUPPORTS POUR PAPIERS PEINTS, NON-COUCHÉS NI ENDUITS</v>
      </c>
      <c r="C4306">
        <v>320000</v>
      </c>
      <c r="D4306">
        <v>550</v>
      </c>
    </row>
    <row r="4307" spans="1:4" x14ac:dyDescent="0.25">
      <c r="A4307" t="str">
        <f>T("   480255")</f>
        <v xml:space="preserve">   480255</v>
      </c>
      <c r="B4307" t="s">
        <v>187</v>
      </c>
      <c r="C4307">
        <v>162601717</v>
      </c>
      <c r="D4307">
        <v>256843</v>
      </c>
    </row>
    <row r="4308" spans="1:4" x14ac:dyDescent="0.25">
      <c r="A4308" t="str">
        <f>T("   480256")</f>
        <v xml:space="preserve">   480256</v>
      </c>
      <c r="B4308" t="s">
        <v>188</v>
      </c>
      <c r="C4308">
        <v>21054726</v>
      </c>
      <c r="D4308">
        <v>43030</v>
      </c>
    </row>
    <row r="4309" spans="1:4" x14ac:dyDescent="0.25">
      <c r="A4309" t="str">
        <f>T("   480257")</f>
        <v xml:space="preserve">   480257</v>
      </c>
      <c r="B4309" t="s">
        <v>189</v>
      </c>
      <c r="C4309">
        <v>222503164</v>
      </c>
      <c r="D4309">
        <v>393562</v>
      </c>
    </row>
    <row r="4310" spans="1:4" x14ac:dyDescent="0.25">
      <c r="A4310" t="str">
        <f>T("   480258")</f>
        <v xml:space="preserve">   480258</v>
      </c>
      <c r="B4310" t="s">
        <v>190</v>
      </c>
      <c r="C4310">
        <v>24770153</v>
      </c>
      <c r="D4310">
        <v>39147</v>
      </c>
    </row>
    <row r="4311" spans="1:4" x14ac:dyDescent="0.25">
      <c r="A4311" t="str">
        <f>T("   480261")</f>
        <v xml:space="preserve">   480261</v>
      </c>
      <c r="B4311" t="s">
        <v>191</v>
      </c>
      <c r="C4311">
        <v>56859361</v>
      </c>
      <c r="D4311">
        <v>93909</v>
      </c>
    </row>
    <row r="4312" spans="1:4" x14ac:dyDescent="0.25">
      <c r="A4312" t="str">
        <f>T("   480300")</f>
        <v xml:space="preserve">   480300</v>
      </c>
      <c r="B4312" t="s">
        <v>193</v>
      </c>
      <c r="C4312">
        <v>436212</v>
      </c>
      <c r="D4312">
        <v>208</v>
      </c>
    </row>
    <row r="4313" spans="1:4" x14ac:dyDescent="0.25">
      <c r="A4313" t="str">
        <f>T("   480429")</f>
        <v xml:space="preserve">   480429</v>
      </c>
      <c r="B4313" t="str">
        <f>T("   PAPIERS KRAFT POUR SACS DE GRANDE CONTENANCE, NON-COUCHÉS NI ENDUITS, EN ROULEAUX D'UNE LARGEUR &gt; 36 CM (À L'EXCL. DES PAPIERS ÉCRUS AINSI QUE DES ARTICLES DU N° 4802, 4803 OU 4808)")</f>
        <v xml:space="preserve">   PAPIERS KRAFT POUR SACS DE GRANDE CONTENANCE, NON-COUCHÉS NI ENDUITS, EN ROULEAUX D'UNE LARGEUR &gt; 36 CM (À L'EXCL. DES PAPIERS ÉCRUS AINSI QUE DES ARTICLES DU N° 4802, 4803 OU 4808)</v>
      </c>
      <c r="C4313">
        <v>1951481</v>
      </c>
      <c r="D4313">
        <v>4620</v>
      </c>
    </row>
    <row r="4314" spans="1:4" x14ac:dyDescent="0.25">
      <c r="A4314" t="str">
        <f>T("   480431")</f>
        <v xml:space="preserve">   480431</v>
      </c>
      <c r="B4314" t="s">
        <v>194</v>
      </c>
      <c r="C4314">
        <v>12568751</v>
      </c>
      <c r="D4314">
        <v>25490</v>
      </c>
    </row>
    <row r="4315" spans="1:4" x14ac:dyDescent="0.25">
      <c r="A4315" t="str">
        <f>T("   480439")</f>
        <v xml:space="preserve">   480439</v>
      </c>
      <c r="B4315" t="s">
        <v>195</v>
      </c>
      <c r="C4315">
        <v>13664709</v>
      </c>
      <c r="D4315">
        <v>22103</v>
      </c>
    </row>
    <row r="4316" spans="1:4" x14ac:dyDescent="0.25">
      <c r="A4316" t="str">
        <f>T("   480519")</f>
        <v xml:space="preserve">   480519</v>
      </c>
      <c r="B4316" t="s">
        <v>197</v>
      </c>
      <c r="C4316">
        <v>1415562</v>
      </c>
      <c r="D4316">
        <v>2098</v>
      </c>
    </row>
    <row r="4317" spans="1:4" x14ac:dyDescent="0.25">
      <c r="A4317" t="str">
        <f>T("   480530")</f>
        <v xml:space="preserve">   480530</v>
      </c>
      <c r="B4317" t="str">
        <f>T("   PAPIER SULFITE D'EMBALLAGE, NON-COUCHÉ NI ENDUIT, EN ROULEAUX D'UNE LARGEUR &gt; 36 CM OU EN FEUILLES DE FORME CARRÉE OU RECTANGULAIRE DONT AU MOINS UN CÔTÉ &gt; 36 CM ET L'AUTRE &gt; 15 CM À L'ÉTAT NON-PLIÉ")</f>
        <v xml:space="preserve">   PAPIER SULFITE D'EMBALLAGE, NON-COUCHÉ NI ENDUIT, EN ROULEAUX D'UNE LARGEUR &gt; 36 CM OU EN FEUILLES DE FORME CARRÉE OU RECTANGULAIRE DONT AU MOINS UN CÔTÉ &gt; 36 CM ET L'AUTRE &gt; 15 CM À L'ÉTAT NON-PLIÉ</v>
      </c>
      <c r="C4317">
        <v>994436</v>
      </c>
      <c r="D4317">
        <v>90</v>
      </c>
    </row>
    <row r="4318" spans="1:4" x14ac:dyDescent="0.25">
      <c r="A4318" t="str">
        <f>T("   480610")</f>
        <v xml:space="preserve">   480610</v>
      </c>
      <c r="B4318" t="str">
        <f>T("   Papiers et cartons sulfurisés [parchemin végétal], en rouleaux d'une largeur &gt; 36 cm ou en feuilles de forme carrée ou rectangulaire dont au moins un coté &gt; 36 cm et l'autre &gt; 15 cm à l'état non plié")</f>
        <v xml:space="preserve">   Papiers et cartons sulfurisés [parchemin végétal], en rouleaux d'une largeur &gt; 36 cm ou en feuilles de forme carrée ou rectangulaire dont au moins un coté &gt; 36 cm et l'autre &gt; 15 cm à l'état non plié</v>
      </c>
      <c r="C4318">
        <v>3148759</v>
      </c>
      <c r="D4318">
        <v>1200</v>
      </c>
    </row>
    <row r="4319" spans="1:4" x14ac:dyDescent="0.25">
      <c r="A4319" t="str">
        <f>T("   480630")</f>
        <v xml:space="preserve">   480630</v>
      </c>
      <c r="B4319" t="str">
        <f>T("   Papiers-calques, en rouleaux d'une largeur &gt; 36 cm ou en feuilles de forme carrée ou rectangulaire dont au moins un coté &gt; 36 cm et l'autre &gt; 15 cm à l'état non plié")</f>
        <v xml:space="preserve">   Papiers-calques, en rouleaux d'une largeur &gt; 36 cm ou en feuilles de forme carrée ou rectangulaire dont au moins un coté &gt; 36 cm et l'autre &gt; 15 cm à l'état non plié</v>
      </c>
      <c r="C4319">
        <v>3794939</v>
      </c>
      <c r="D4319">
        <v>3383</v>
      </c>
    </row>
    <row r="4320" spans="1:4" x14ac:dyDescent="0.25">
      <c r="A4320" t="str">
        <f>T("   480830")</f>
        <v xml:space="preserve">   480830</v>
      </c>
      <c r="B4320" t="s">
        <v>200</v>
      </c>
      <c r="C4320">
        <v>47229</v>
      </c>
      <c r="D4320">
        <v>3</v>
      </c>
    </row>
    <row r="4321" spans="1:4" x14ac:dyDescent="0.25">
      <c r="A4321" t="str">
        <f>T("   480890")</f>
        <v xml:space="preserve">   480890</v>
      </c>
      <c r="B4321" t="s">
        <v>201</v>
      </c>
      <c r="C4321">
        <v>7294951</v>
      </c>
      <c r="D4321">
        <v>1356</v>
      </c>
    </row>
    <row r="4322" spans="1:4" x14ac:dyDescent="0.25">
      <c r="A4322" t="str">
        <f>T("   481013")</f>
        <v xml:space="preserve">   481013</v>
      </c>
      <c r="B4322" t="s">
        <v>203</v>
      </c>
      <c r="C4322">
        <v>2062351</v>
      </c>
      <c r="D4322">
        <v>8902</v>
      </c>
    </row>
    <row r="4323" spans="1:4" x14ac:dyDescent="0.25">
      <c r="A4323" t="str">
        <f>T("   481014")</f>
        <v xml:space="preserve">   481014</v>
      </c>
      <c r="B4323" t="s">
        <v>203</v>
      </c>
      <c r="C4323">
        <v>202127</v>
      </c>
      <c r="D4323">
        <v>76</v>
      </c>
    </row>
    <row r="4324" spans="1:4" x14ac:dyDescent="0.25">
      <c r="A4324" t="str">
        <f>T("   481029")</f>
        <v xml:space="preserve">   481029</v>
      </c>
      <c r="B4324" t="s">
        <v>204</v>
      </c>
      <c r="C4324">
        <v>13022289</v>
      </c>
      <c r="D4324">
        <v>23350</v>
      </c>
    </row>
    <row r="4325" spans="1:4" x14ac:dyDescent="0.25">
      <c r="A4325" t="str">
        <f>T("   481099")</f>
        <v xml:space="preserve">   481099</v>
      </c>
      <c r="B4325" t="s">
        <v>208</v>
      </c>
      <c r="C4325">
        <v>2313925</v>
      </c>
      <c r="D4325">
        <v>1394</v>
      </c>
    </row>
    <row r="4326" spans="1:4" x14ac:dyDescent="0.25">
      <c r="A4326" t="str">
        <f>T("   481110")</f>
        <v xml:space="preserve">   481110</v>
      </c>
      <c r="B4326" t="str">
        <f>T("   Papiers et cartons goudronnés, bitumés ou asphaltés, en rouleaux ou en feuilles de forme carrée ou rectangulaire, de tout format")</f>
        <v xml:space="preserve">   Papiers et cartons goudronnés, bitumés ou asphaltés, en rouleaux ou en feuilles de forme carrée ou rectangulaire, de tout format</v>
      </c>
      <c r="C4326">
        <v>51375180</v>
      </c>
      <c r="D4326">
        <v>124524</v>
      </c>
    </row>
    <row r="4327" spans="1:4" x14ac:dyDescent="0.25">
      <c r="A4327" t="str">
        <f>T("   481141")</f>
        <v xml:space="preserve">   481141</v>
      </c>
      <c r="B4327"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4327">
        <v>2461884</v>
      </c>
      <c r="D4327">
        <v>3210</v>
      </c>
    </row>
    <row r="4328" spans="1:4" x14ac:dyDescent="0.25">
      <c r="A4328" t="str">
        <f>T("   481149")</f>
        <v xml:space="preserve">   481149</v>
      </c>
      <c r="B4328" t="str">
        <f>T("   Papiers et cartons gommés ou adhésifs, coloriés en surface, décorés en surface ou imprimés, en rouleaux ou en feuilles de forme carrée ou rectangulaire, de tout format (à l'excl. des papiers et cartons auto-adhésifs ainsi que des produits du n° 4810)")</f>
        <v xml:space="preserve">   Papiers et cartons gommés ou adhésifs, coloriés en surface, décorés en surface ou imprimés, en rouleaux ou en feuilles de forme carrée ou rectangulaire, de tout format (à l'excl. des papiers et cartons auto-adhésifs ainsi que des produits du n° 4810)</v>
      </c>
      <c r="C4328">
        <v>2205487</v>
      </c>
      <c r="D4328">
        <v>9550</v>
      </c>
    </row>
    <row r="4329" spans="1:4" x14ac:dyDescent="0.25">
      <c r="A4329" t="str">
        <f>T("   481190")</f>
        <v xml:space="preserve">   481190</v>
      </c>
      <c r="B4329" t="s">
        <v>210</v>
      </c>
      <c r="C4329">
        <v>569373</v>
      </c>
      <c r="D4329">
        <v>1309</v>
      </c>
    </row>
    <row r="4330" spans="1:4" x14ac:dyDescent="0.25">
      <c r="A4330" t="str">
        <f>T("   481200")</f>
        <v xml:space="preserve">   481200</v>
      </c>
      <c r="B4330" t="str">
        <f>T("   Blocs filtrants et plaques filtrantes, en pâte à papier")</f>
        <v xml:space="preserve">   Blocs filtrants et plaques filtrantes, en pâte à papier</v>
      </c>
      <c r="C4330">
        <v>45589879</v>
      </c>
      <c r="D4330">
        <v>2681</v>
      </c>
    </row>
    <row r="4331" spans="1:4" x14ac:dyDescent="0.25">
      <c r="A4331" t="str">
        <f>T("   481690")</f>
        <v xml:space="preserve">   481690</v>
      </c>
      <c r="B4331" t="s">
        <v>212</v>
      </c>
      <c r="C4331">
        <v>228274</v>
      </c>
      <c r="D4331">
        <v>72</v>
      </c>
    </row>
    <row r="4332" spans="1:4" x14ac:dyDescent="0.25">
      <c r="A4332" t="str">
        <f>T("   481710")</f>
        <v xml:space="preserve">   481710</v>
      </c>
      <c r="B4332" t="str">
        <f>T("   Enveloppes, en papier ou en carton")</f>
        <v xml:space="preserve">   Enveloppes, en papier ou en carton</v>
      </c>
      <c r="C4332">
        <v>70403894</v>
      </c>
      <c r="D4332">
        <v>176388</v>
      </c>
    </row>
    <row r="4333" spans="1:4" x14ac:dyDescent="0.25">
      <c r="A4333" t="str">
        <f>T("   481810")</f>
        <v xml:space="preserve">   481810</v>
      </c>
      <c r="B4333" t="str">
        <f>T("   Papier hygiénique, en rouleaux d'une largeur &lt;= 36 cm")</f>
        <v xml:space="preserve">   Papier hygiénique, en rouleaux d'une largeur &lt;= 36 cm</v>
      </c>
      <c r="C4333">
        <v>8560850</v>
      </c>
      <c r="D4333">
        <v>12335</v>
      </c>
    </row>
    <row r="4334" spans="1:4" x14ac:dyDescent="0.25">
      <c r="A4334" t="str">
        <f>T("   481820")</f>
        <v xml:space="preserve">   481820</v>
      </c>
      <c r="B4334"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4334">
        <v>62246446</v>
      </c>
      <c r="D4334">
        <v>34234</v>
      </c>
    </row>
    <row r="4335" spans="1:4" x14ac:dyDescent="0.25">
      <c r="A4335" t="str">
        <f>T("   481830")</f>
        <v xml:space="preserve">   481830</v>
      </c>
      <c r="B4335" t="str">
        <f>T("   Nappes et serviettes de table, en pâte à papier, papier, ouate de cellulose ou nappes de fibres de cellulose")</f>
        <v xml:space="preserve">   Nappes et serviettes de table, en pâte à papier, papier, ouate de cellulose ou nappes de fibres de cellulose</v>
      </c>
      <c r="C4335">
        <v>2711083</v>
      </c>
      <c r="D4335">
        <v>3305</v>
      </c>
    </row>
    <row r="4336" spans="1:4" x14ac:dyDescent="0.25">
      <c r="A4336" t="str">
        <f>T("   481840")</f>
        <v xml:space="preserve">   481840</v>
      </c>
      <c r="B4336"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4336">
        <v>48209485</v>
      </c>
      <c r="D4336">
        <v>40237</v>
      </c>
    </row>
    <row r="4337" spans="1:4" x14ac:dyDescent="0.25">
      <c r="A4337" t="str">
        <f>T("   481890")</f>
        <v xml:space="preserve">   481890</v>
      </c>
      <c r="B4337" t="s">
        <v>213</v>
      </c>
      <c r="C4337">
        <v>855372</v>
      </c>
      <c r="D4337">
        <v>1836</v>
      </c>
    </row>
    <row r="4338" spans="1:4" x14ac:dyDescent="0.25">
      <c r="A4338" t="str">
        <f>T("   481910")</f>
        <v xml:space="preserve">   481910</v>
      </c>
      <c r="B4338" t="str">
        <f>T("   Boîtes et caisses en papier ou en carton ondulé")</f>
        <v xml:space="preserve">   Boîtes et caisses en papier ou en carton ondulé</v>
      </c>
      <c r="C4338">
        <v>188917</v>
      </c>
      <c r="D4338">
        <v>143</v>
      </c>
    </row>
    <row r="4339" spans="1:4" x14ac:dyDescent="0.25">
      <c r="A4339" t="str">
        <f>T("   481920")</f>
        <v xml:space="preserve">   481920</v>
      </c>
      <c r="B4339" t="str">
        <f>T("   Boîtes et cartonnages, pliants, en papier ou en carton non ondulé")</f>
        <v xml:space="preserve">   Boîtes et cartonnages, pliants, en papier ou en carton non ondulé</v>
      </c>
      <c r="C4339">
        <v>66286421</v>
      </c>
      <c r="D4339">
        <v>56225</v>
      </c>
    </row>
    <row r="4340" spans="1:4" x14ac:dyDescent="0.25">
      <c r="A4340" t="str">
        <f>T("   481930")</f>
        <v xml:space="preserve">   481930</v>
      </c>
      <c r="B4340" t="str">
        <f>T("   Sacs, en papier, carton, ouate de cellulose ou nappes de fibres de cellulose, d'une largeur à la base &gt;= 40 cm")</f>
        <v xml:space="preserve">   Sacs, en papier, carton, ouate de cellulose ou nappes de fibres de cellulose, d'une largeur à la base &gt;= 40 cm</v>
      </c>
      <c r="C4340">
        <v>48731</v>
      </c>
      <c r="D4340">
        <v>1</v>
      </c>
    </row>
    <row r="4341" spans="1:4" x14ac:dyDescent="0.25">
      <c r="A4341" t="str">
        <f>T("   481940")</f>
        <v xml:space="preserve">   481940</v>
      </c>
      <c r="B4341"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4341">
        <v>8434158</v>
      </c>
      <c r="D4341">
        <v>8931</v>
      </c>
    </row>
    <row r="4342" spans="1:4" x14ac:dyDescent="0.25">
      <c r="A4342" t="str">
        <f>T("   481950")</f>
        <v xml:space="preserve">   481950</v>
      </c>
      <c r="B4342" t="s">
        <v>214</v>
      </c>
      <c r="C4342">
        <v>3004640</v>
      </c>
      <c r="D4342">
        <v>4454</v>
      </c>
    </row>
    <row r="4343" spans="1:4" x14ac:dyDescent="0.25">
      <c r="A4343" t="str">
        <f>T("   481960")</f>
        <v xml:space="preserve">   481960</v>
      </c>
      <c r="B4343" t="str">
        <f>T("   Cartonnages de bureau, de magasin ou simil., rigides (à l'excl. des emballages)")</f>
        <v xml:space="preserve">   Cartonnages de bureau, de magasin ou simil., rigides (à l'excl. des emballages)</v>
      </c>
      <c r="C4343">
        <v>5176955</v>
      </c>
      <c r="D4343">
        <v>2788</v>
      </c>
    </row>
    <row r="4344" spans="1:4" x14ac:dyDescent="0.25">
      <c r="A4344" t="str">
        <f>T("   482010")</f>
        <v xml:space="preserve">   482010</v>
      </c>
      <c r="B4344"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4344">
        <v>74349334</v>
      </c>
      <c r="D4344">
        <v>32295.8</v>
      </c>
    </row>
    <row r="4345" spans="1:4" x14ac:dyDescent="0.25">
      <c r="A4345" t="str">
        <f>T("   482020")</f>
        <v xml:space="preserve">   482020</v>
      </c>
      <c r="B4345" t="str">
        <f>T("   Cahiers pour l'écriture, en papier ou carton")</f>
        <v xml:space="preserve">   Cahiers pour l'écriture, en papier ou carton</v>
      </c>
      <c r="C4345">
        <v>78408924</v>
      </c>
      <c r="D4345">
        <v>122356</v>
      </c>
    </row>
    <row r="4346" spans="1:4" x14ac:dyDescent="0.25">
      <c r="A4346" t="str">
        <f>T("   482030")</f>
        <v xml:space="preserve">   482030</v>
      </c>
      <c r="B4346" t="str">
        <f>T("   Classeurs, reliures (autres que les couvertures pour livres), chemises et couvertures à dossiers, en papier ou en carton")</f>
        <v xml:space="preserve">   Classeurs, reliures (autres que les couvertures pour livres), chemises et couvertures à dossiers, en papier ou en carton</v>
      </c>
      <c r="C4346">
        <v>30011690</v>
      </c>
      <c r="D4346">
        <v>21540</v>
      </c>
    </row>
    <row r="4347" spans="1:4" x14ac:dyDescent="0.25">
      <c r="A4347" t="str">
        <f>T("   482040")</f>
        <v xml:space="preserve">   482040</v>
      </c>
      <c r="B4347" t="str">
        <f>T("   Liasses et carnets manifold, même comportant des feuilles de papier carbone, en papier ou carton")</f>
        <v xml:space="preserve">   Liasses et carnets manifold, même comportant des feuilles de papier carbone, en papier ou carton</v>
      </c>
      <c r="C4347">
        <v>3886957</v>
      </c>
      <c r="D4347">
        <v>7183</v>
      </c>
    </row>
    <row r="4348" spans="1:4" x14ac:dyDescent="0.25">
      <c r="A4348" t="str">
        <f>T("   482090")</f>
        <v xml:space="preserve">   482090</v>
      </c>
      <c r="B4348" t="s">
        <v>215</v>
      </c>
      <c r="C4348">
        <v>9013493</v>
      </c>
      <c r="D4348">
        <v>15862.37</v>
      </c>
    </row>
    <row r="4349" spans="1:4" x14ac:dyDescent="0.25">
      <c r="A4349" t="str">
        <f>T("   482110")</f>
        <v xml:space="preserve">   482110</v>
      </c>
      <c r="B4349" t="str">
        <f>T("   ÉTIQUETTES DE TOUS GENRES, EN PAPIER OU EN CARTON, IMPRIMÉES")</f>
        <v xml:space="preserve">   ÉTIQUETTES DE TOUS GENRES, EN PAPIER OU EN CARTON, IMPRIMÉES</v>
      </c>
      <c r="C4349">
        <v>927355962</v>
      </c>
      <c r="D4349">
        <v>167074</v>
      </c>
    </row>
    <row r="4350" spans="1:4" x14ac:dyDescent="0.25">
      <c r="A4350" t="str">
        <f>T("   482190")</f>
        <v xml:space="preserve">   482190</v>
      </c>
      <c r="B4350" t="str">
        <f>T("   ÉTIQUETTES DE TOUS GENRES, EN PAPIER OU EN CARTON, NON-IMPRIMÉES")</f>
        <v xml:space="preserve">   ÉTIQUETTES DE TOUS GENRES, EN PAPIER OU EN CARTON, NON-IMPRIMÉES</v>
      </c>
      <c r="C4350">
        <v>12644089</v>
      </c>
      <c r="D4350">
        <v>3653</v>
      </c>
    </row>
    <row r="4351" spans="1:4" x14ac:dyDescent="0.25">
      <c r="A4351" t="str">
        <f>T("   482290")</f>
        <v xml:space="preserve">   482290</v>
      </c>
      <c r="B4351" t="str">
        <f>T("   Tambours, bobines, fusettes, canettes et supports simil., en pâte à papier, papier ou carton, même perforés ou durcis (à l'excl. des articles des types utilisés pour l'enroulement des fils textiles)")</f>
        <v xml:space="preserve">   Tambours, bobines, fusettes, canettes et supports simil., en pâte à papier, papier ou carton, même perforés ou durcis (à l'excl. des articles des types utilisés pour l'enroulement des fils textiles)</v>
      </c>
      <c r="C4351">
        <v>438182</v>
      </c>
      <c r="D4351">
        <v>437</v>
      </c>
    </row>
    <row r="4352" spans="1:4" x14ac:dyDescent="0.25">
      <c r="A4352" t="str">
        <f>T("   482320")</f>
        <v xml:space="preserve">   482320</v>
      </c>
      <c r="B4352" t="str">
        <f>T("   Papier et carton-filtre, en bandes ou en rouleaux d'une largeur &lt;= 36 cm ou en feuilles de forme carrée ou rectangulaire dont aucun côté &gt; 36 cm à l'état non plié, ou découpés de forme autre que carrée ou rectangulaire")</f>
        <v xml:space="preserve">   Papier et carton-filtre, en bandes ou en rouleaux d'une largeur &lt;= 36 cm ou en feuilles de forme carrée ou rectangulaire dont aucun côté &gt; 36 cm à l'état non plié, ou découpés de forme autre que carrée ou rectangulaire</v>
      </c>
      <c r="C4352">
        <v>14854530</v>
      </c>
      <c r="D4352">
        <v>1980</v>
      </c>
    </row>
    <row r="4353" spans="1:4" x14ac:dyDescent="0.25">
      <c r="A4353" t="str">
        <f>T("   482340")</f>
        <v xml:space="preserve">   482340</v>
      </c>
      <c r="B4353"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4353">
        <v>7773158</v>
      </c>
      <c r="D4353">
        <v>3590</v>
      </c>
    </row>
    <row r="4354" spans="1:4" x14ac:dyDescent="0.25">
      <c r="A4354" t="str">
        <f>T("   482360")</f>
        <v xml:space="preserve">   482360</v>
      </c>
      <c r="B4354" t="str">
        <f>T("   Plateaux, plats, assiettes, tasses, gobelets et articles simil., en papier ou en carton")</f>
        <v xml:space="preserve">   Plateaux, plats, assiettes, tasses, gobelets et articles simil., en papier ou en carton</v>
      </c>
      <c r="C4354">
        <v>834381</v>
      </c>
      <c r="D4354">
        <v>1000</v>
      </c>
    </row>
    <row r="4355" spans="1:4" x14ac:dyDescent="0.25">
      <c r="A4355" t="str">
        <f>T("   482370")</f>
        <v xml:space="preserve">   482370</v>
      </c>
      <c r="B4355" t="str">
        <f>T("   Articles moulés ou pressés en pâte à papier, n.d.a.")</f>
        <v xml:space="preserve">   Articles moulés ou pressés en pâte à papier, n.d.a.</v>
      </c>
      <c r="C4355">
        <v>1234517</v>
      </c>
      <c r="D4355">
        <v>153</v>
      </c>
    </row>
    <row r="4356" spans="1:4" x14ac:dyDescent="0.25">
      <c r="A4356" t="str">
        <f>T("   482390")</f>
        <v xml:space="preserve">   482390</v>
      </c>
      <c r="B4356" t="s">
        <v>216</v>
      </c>
      <c r="C4356">
        <v>11067658</v>
      </c>
      <c r="D4356">
        <v>32573</v>
      </c>
    </row>
    <row r="4357" spans="1:4" x14ac:dyDescent="0.25">
      <c r="A4357" t="str">
        <f>T("   490110")</f>
        <v xml:space="preserve">   490110</v>
      </c>
      <c r="B4357"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4357">
        <v>106253776</v>
      </c>
      <c r="D4357">
        <v>67122</v>
      </c>
    </row>
    <row r="4358" spans="1:4" x14ac:dyDescent="0.25">
      <c r="A4358" t="str">
        <f>T("   490191")</f>
        <v xml:space="preserve">   490191</v>
      </c>
      <c r="B4358" t="str">
        <f>T("   Dictionnaires et encyclopédies, même en fascicules")</f>
        <v xml:space="preserve">   Dictionnaires et encyclopédies, même en fascicules</v>
      </c>
      <c r="C4358">
        <v>21430506</v>
      </c>
      <c r="D4358">
        <v>4521</v>
      </c>
    </row>
    <row r="4359" spans="1:4" x14ac:dyDescent="0.25">
      <c r="A4359" t="str">
        <f>T("   490199")</f>
        <v xml:space="preserve">   490199</v>
      </c>
      <c r="B435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4359">
        <v>949182174</v>
      </c>
      <c r="D4359">
        <v>211595.77</v>
      </c>
    </row>
    <row r="4360" spans="1:4" x14ac:dyDescent="0.25">
      <c r="A4360" t="str">
        <f>T("   490210")</f>
        <v xml:space="preserve">   490210</v>
      </c>
      <c r="B4360" t="str">
        <f>T("   Journaux et publications périodiques imprimés, même illustrés ou contenant de la publicité, paraissant au moins quatre fois par semaine")</f>
        <v xml:space="preserve">   Journaux et publications périodiques imprimés, même illustrés ou contenant de la publicité, paraissant au moins quatre fois par semaine</v>
      </c>
      <c r="C4360">
        <v>33976868</v>
      </c>
      <c r="D4360">
        <v>19177</v>
      </c>
    </row>
    <row r="4361" spans="1:4" x14ac:dyDescent="0.25">
      <c r="A4361" t="str">
        <f>T("   490290")</f>
        <v xml:space="preserve">   490290</v>
      </c>
      <c r="B4361"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4361">
        <v>9805166</v>
      </c>
      <c r="D4361">
        <v>5581</v>
      </c>
    </row>
    <row r="4362" spans="1:4" x14ac:dyDescent="0.25">
      <c r="A4362" t="str">
        <f>T("   490400")</f>
        <v xml:space="preserve">   490400</v>
      </c>
      <c r="B4362" t="str">
        <f>T("   Musique manuscrite ou imprimée, illustrée ou non, même reliée")</f>
        <v xml:space="preserve">   Musique manuscrite ou imprimée, illustrée ou non, même reliée</v>
      </c>
      <c r="C4362">
        <v>297898</v>
      </c>
      <c r="D4362">
        <v>185</v>
      </c>
    </row>
    <row r="4363" spans="1:4" x14ac:dyDescent="0.25">
      <c r="A4363" t="str">
        <f>T("   490599")</f>
        <v xml:space="preserve">   490599</v>
      </c>
      <c r="B4363"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4363">
        <v>1400327</v>
      </c>
      <c r="D4363">
        <v>1532</v>
      </c>
    </row>
    <row r="4364" spans="1:4" x14ac:dyDescent="0.25">
      <c r="A4364" t="str">
        <f>T("   490700")</f>
        <v xml:space="preserve">   490700</v>
      </c>
      <c r="B4364" t="s">
        <v>218</v>
      </c>
      <c r="C4364">
        <v>49169001</v>
      </c>
      <c r="D4364">
        <v>6058.3</v>
      </c>
    </row>
    <row r="4365" spans="1:4" x14ac:dyDescent="0.25">
      <c r="A4365" t="str">
        <f>T("   490900")</f>
        <v xml:space="preserve">   490900</v>
      </c>
      <c r="B4365"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4365">
        <v>27724904</v>
      </c>
      <c r="D4365">
        <v>5160.3599999999997</v>
      </c>
    </row>
    <row r="4366" spans="1:4" x14ac:dyDescent="0.25">
      <c r="A4366" t="str">
        <f>T("   491000")</f>
        <v xml:space="preserve">   491000</v>
      </c>
      <c r="B4366" t="str">
        <f>T("   Calendriers de tous genres, imprimés, y.c. les blocs de calendriers à effeuiller")</f>
        <v xml:space="preserve">   Calendriers de tous genres, imprimés, y.c. les blocs de calendriers à effeuiller</v>
      </c>
      <c r="C4366">
        <v>38988373</v>
      </c>
      <c r="D4366">
        <v>29272.34</v>
      </c>
    </row>
    <row r="4367" spans="1:4" x14ac:dyDescent="0.25">
      <c r="A4367" t="str">
        <f>T("   491110")</f>
        <v xml:space="preserve">   491110</v>
      </c>
      <c r="B4367" t="str">
        <f>T("   Imprimés publicitaires, catalogues commerciaux et simil.")</f>
        <v xml:space="preserve">   Imprimés publicitaires, catalogues commerciaux et simil.</v>
      </c>
      <c r="C4367">
        <v>15834988</v>
      </c>
      <c r="D4367">
        <v>11615</v>
      </c>
    </row>
    <row r="4368" spans="1:4" x14ac:dyDescent="0.25">
      <c r="A4368" t="str">
        <f>T("   491191")</f>
        <v xml:space="preserve">   491191</v>
      </c>
      <c r="B4368" t="str">
        <f>T("   Images, gravures et photographies, n.d.a.")</f>
        <v xml:space="preserve">   Images, gravures et photographies, n.d.a.</v>
      </c>
      <c r="C4368">
        <v>183117</v>
      </c>
      <c r="D4368">
        <v>1513</v>
      </c>
    </row>
    <row r="4369" spans="1:4" x14ac:dyDescent="0.25">
      <c r="A4369" t="str">
        <f>T("   491199")</f>
        <v xml:space="preserve">   491199</v>
      </c>
      <c r="B4369" t="str">
        <f>T("   Imprimés, n.d.a.")</f>
        <v xml:space="preserve">   Imprimés, n.d.a.</v>
      </c>
      <c r="C4369">
        <v>47314636</v>
      </c>
      <c r="D4369">
        <v>15539</v>
      </c>
    </row>
    <row r="4370" spans="1:4" x14ac:dyDescent="0.25">
      <c r="A4370" t="str">
        <f>T("   510119")</f>
        <v xml:space="preserve">   510119</v>
      </c>
      <c r="B4370" t="str">
        <f>T("   Laines en suint, y.c. les laines lavées à dos, non cardées ni peignées (à l'excl. des laines de tonte)")</f>
        <v xml:space="preserve">   Laines en suint, y.c. les laines lavées à dos, non cardées ni peignées (à l'excl. des laines de tonte)</v>
      </c>
      <c r="C4370">
        <v>55440</v>
      </c>
      <c r="D4370">
        <v>70</v>
      </c>
    </row>
    <row r="4371" spans="1:4" x14ac:dyDescent="0.25">
      <c r="A4371" t="str">
        <f>T("   510320")</f>
        <v xml:space="preserve">   510320</v>
      </c>
      <c r="B4371" t="str">
        <f>T("   Déchets de laine ou de poils fins, y.c. les déchets de fils (à l'excl. des blousses et des effilochés)")</f>
        <v xml:space="preserve">   Déchets de laine ou de poils fins, y.c. les déchets de fils (à l'excl. des blousses et des effilochés)</v>
      </c>
      <c r="C4371">
        <v>629066</v>
      </c>
      <c r="D4371">
        <v>960</v>
      </c>
    </row>
    <row r="4372" spans="1:4" x14ac:dyDescent="0.25">
      <c r="A4372" t="str">
        <f>T("   511211")</f>
        <v xml:space="preserve">   511211</v>
      </c>
      <c r="B4372" t="str">
        <f>T("   Tissus de laine peignée ou de poils fins peignés, contenant &gt;= 85% en poids de laine ou de poils fins, d'un poids &lt;= 200 g/m²")</f>
        <v xml:space="preserve">   Tissus de laine peignée ou de poils fins peignés, contenant &gt;= 85% en poids de laine ou de poils fins, d'un poids &lt;= 200 g/m²</v>
      </c>
      <c r="C4372">
        <v>4633465</v>
      </c>
      <c r="D4372">
        <v>451.5</v>
      </c>
    </row>
    <row r="4373" spans="1:4" x14ac:dyDescent="0.25">
      <c r="A4373" t="str">
        <f>T("   520299")</f>
        <v xml:space="preserve">   520299</v>
      </c>
      <c r="B4373" t="str">
        <f>T("   Déchets de coton (à l'excl. des déchets de fils et des effilochés)")</f>
        <v xml:space="preserve">   Déchets de coton (à l'excl. des déchets de fils et des effilochés)</v>
      </c>
      <c r="C4373">
        <v>1836688</v>
      </c>
      <c r="D4373">
        <v>700</v>
      </c>
    </row>
    <row r="4374" spans="1:4" x14ac:dyDescent="0.25">
      <c r="A4374" t="str">
        <f>T("   520829")</f>
        <v xml:space="preserve">   520829</v>
      </c>
      <c r="B4374"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4374">
        <v>3892379</v>
      </c>
      <c r="D4374">
        <v>1009</v>
      </c>
    </row>
    <row r="4375" spans="1:4" x14ac:dyDescent="0.25">
      <c r="A4375" t="str">
        <f>T("   520852")</f>
        <v xml:space="preserve">   520852</v>
      </c>
      <c r="B4375" t="str">
        <f>T("   Tissus de coton, imprimés, à armure toile, contenant &gt;= 85% en poids de coton, d'un poids &gt; 100 g/m² mais &lt;= 200 g/m²")</f>
        <v xml:space="preserve">   Tissus de coton, imprimés, à armure toile, contenant &gt;= 85% en poids de coton, d'un poids &gt; 100 g/m² mais &lt;= 200 g/m²</v>
      </c>
      <c r="C4375">
        <v>96167615</v>
      </c>
      <c r="D4375">
        <v>107780</v>
      </c>
    </row>
    <row r="4376" spans="1:4" x14ac:dyDescent="0.25">
      <c r="A4376" t="str">
        <f>T("   540269")</f>
        <v xml:space="preserve">   540269</v>
      </c>
      <c r="B4376" t="s">
        <v>224</v>
      </c>
      <c r="C4376">
        <v>487378</v>
      </c>
      <c r="D4376">
        <v>540</v>
      </c>
    </row>
    <row r="4377" spans="1:4" x14ac:dyDescent="0.25">
      <c r="A4377" t="str">
        <f>T("   551219")</f>
        <v xml:space="preserve">   551219</v>
      </c>
      <c r="B4377"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4377">
        <v>543948</v>
      </c>
      <c r="D4377">
        <v>193.5</v>
      </c>
    </row>
    <row r="4378" spans="1:4" x14ac:dyDescent="0.25">
      <c r="A4378" t="str">
        <f>T("   560110")</f>
        <v xml:space="preserve">   560110</v>
      </c>
      <c r="B4378" t="str">
        <f>T("   Serviettes et tampons hygiéniques, couches pour bébés et articles hygiéniques simil., en ouates")</f>
        <v xml:space="preserve">   Serviettes et tampons hygiéniques, couches pour bébés et articles hygiéniques simil., en ouates</v>
      </c>
      <c r="C4378">
        <v>605451</v>
      </c>
      <c r="D4378">
        <v>2572.5</v>
      </c>
    </row>
    <row r="4379" spans="1:4" x14ac:dyDescent="0.25">
      <c r="A4379" t="str">
        <f>T("   560121")</f>
        <v xml:space="preserve">   560121</v>
      </c>
      <c r="B4379" t="s">
        <v>236</v>
      </c>
      <c r="C4379">
        <v>15052722</v>
      </c>
      <c r="D4379">
        <v>7574</v>
      </c>
    </row>
    <row r="4380" spans="1:4" x14ac:dyDescent="0.25">
      <c r="A4380" t="str">
        <f>T("   560129")</f>
        <v xml:space="preserve">   560129</v>
      </c>
      <c r="B4380" t="s">
        <v>237</v>
      </c>
      <c r="C4380">
        <v>1025265</v>
      </c>
      <c r="D4380">
        <v>1729</v>
      </c>
    </row>
    <row r="4381" spans="1:4" x14ac:dyDescent="0.25">
      <c r="A4381" t="str">
        <f>T("   560210")</f>
        <v xml:space="preserve">   560210</v>
      </c>
      <c r="B4381" t="str">
        <f>T("   Feutres aiguilletés et produits cousus-tricotés, même imprégnés, enduits, recouverts ou stratifiés, n.d.a.")</f>
        <v xml:space="preserve">   Feutres aiguilletés et produits cousus-tricotés, même imprégnés, enduits, recouverts ou stratifiés, n.d.a.</v>
      </c>
      <c r="C4381">
        <v>13317956</v>
      </c>
      <c r="D4381">
        <v>875</v>
      </c>
    </row>
    <row r="4382" spans="1:4" x14ac:dyDescent="0.25">
      <c r="A4382" t="str">
        <f>T("   560290")</f>
        <v xml:space="preserve">   560290</v>
      </c>
      <c r="B4382" t="str">
        <f>T("   Feutres, imprégnés, enduits, recouverts ou stratifiés (à l'excl. des feutres aiguilletés et des produits cousus-tricotés)")</f>
        <v xml:space="preserve">   Feutres, imprégnés, enduits, recouverts ou stratifiés (à l'excl. des feutres aiguilletés et des produits cousus-tricotés)</v>
      </c>
      <c r="C4382">
        <v>543135</v>
      </c>
      <c r="D4382">
        <v>227</v>
      </c>
    </row>
    <row r="4383" spans="1:4" x14ac:dyDescent="0.25">
      <c r="A4383" t="str">
        <f>T("   560311")</f>
        <v xml:space="preserve">   560311</v>
      </c>
      <c r="B4383" t="str">
        <f>T("   Nontissés, même imprégnés, enduits, recouverts ou stratifiés, n.d.a., de filaments synthétiques ou artificiels, d'un poids &lt;= 25 g/m²")</f>
        <v xml:space="preserve">   Nontissés, même imprégnés, enduits, recouverts ou stratifiés, n.d.a., de filaments synthétiques ou artificiels, d'un poids &lt;= 25 g/m²</v>
      </c>
      <c r="C4383">
        <v>553630</v>
      </c>
      <c r="D4383">
        <v>2000</v>
      </c>
    </row>
    <row r="4384" spans="1:4" x14ac:dyDescent="0.25">
      <c r="A4384" t="str">
        <f>T("   560314")</f>
        <v xml:space="preserve">   560314</v>
      </c>
      <c r="B4384" t="str">
        <f>T("   Nontissés, même imprégnés, enduits, recouverts ou stratifiés, n.d.a., de filaments synthétiques ou artificiels, d'un poids &gt; 150 g/m²")</f>
        <v xml:space="preserve">   Nontissés, même imprégnés, enduits, recouverts ou stratifiés, n.d.a., de filaments synthétiques ou artificiels, d'un poids &gt; 150 g/m²</v>
      </c>
      <c r="C4384">
        <v>39894831</v>
      </c>
      <c r="D4384">
        <v>2765</v>
      </c>
    </row>
    <row r="4385" spans="1:4" x14ac:dyDescent="0.25">
      <c r="A4385" t="str">
        <f>T("   560394")</f>
        <v xml:space="preserve">   560394</v>
      </c>
      <c r="B4385" t="str">
        <f>T("   Nontissés, même imprégnés, enduits, recouverts ou stratifiés, n.d.a., d'un poids &gt; 150 g/m² (à l'excl. de filaments synthétiques ou artificiels)")</f>
        <v xml:space="preserve">   Nontissés, même imprégnés, enduits, recouverts ou stratifiés, n.d.a., d'un poids &gt; 150 g/m² (à l'excl. de filaments synthétiques ou artificiels)</v>
      </c>
      <c r="C4385">
        <v>1733046</v>
      </c>
      <c r="D4385">
        <v>25</v>
      </c>
    </row>
    <row r="4386" spans="1:4" x14ac:dyDescent="0.25">
      <c r="A4386" t="str">
        <f>T("   560749")</f>
        <v xml:space="preserve">   560749</v>
      </c>
      <c r="B4386"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4386">
        <v>2227202</v>
      </c>
      <c r="D4386">
        <v>573</v>
      </c>
    </row>
    <row r="4387" spans="1:4" x14ac:dyDescent="0.25">
      <c r="A4387" t="str">
        <f>T("   560890")</f>
        <v xml:space="preserve">   560890</v>
      </c>
      <c r="B4387" t="s">
        <v>240</v>
      </c>
      <c r="C4387">
        <v>137096</v>
      </c>
      <c r="D4387">
        <v>134</v>
      </c>
    </row>
    <row r="4388" spans="1:4" x14ac:dyDescent="0.25">
      <c r="A4388" t="str">
        <f>T("   560900")</f>
        <v xml:space="preserve">   560900</v>
      </c>
      <c r="B4388" t="str">
        <f>T("   Articles en fils, lames ou formes simil. du n° 5404 ou 5405, ficelles, cordes ou cordages du n° 5607, n.d.a.")</f>
        <v xml:space="preserve">   Articles en fils, lames ou formes simil. du n° 5404 ou 5405, ficelles, cordes ou cordages du n° 5607, n.d.a.</v>
      </c>
      <c r="C4388">
        <v>68220</v>
      </c>
      <c r="D4388">
        <v>5</v>
      </c>
    </row>
    <row r="4389" spans="1:4" x14ac:dyDescent="0.25">
      <c r="A4389" t="str">
        <f>T("   570220")</f>
        <v xml:space="preserve">   570220</v>
      </c>
      <c r="B4389" t="str">
        <f>T("   Revêtements de sol en coco, tissés, même confectionnés")</f>
        <v xml:space="preserve">   Revêtements de sol en coco, tissés, même confectionnés</v>
      </c>
      <c r="C4389">
        <v>1058720</v>
      </c>
      <c r="D4389">
        <v>594</v>
      </c>
    </row>
    <row r="4390" spans="1:4" x14ac:dyDescent="0.25">
      <c r="A4390" t="str">
        <f>T("   570231")</f>
        <v xml:space="preserve">   570231</v>
      </c>
      <c r="B4390" t="str">
        <f>T("   TAPIS ET AUTRES REVÊTEMENTS DE SOL, DE LAINE OU DE POILS FINS, TISSÉS, NON-TOUFFETÉS NI FLOQUÉS, À VELOURS, NON-CONFECTIONNÉS (À L'EXCL. DES TAPIS DITS 'KELIM', 'KILIM', 'SCHUMACKS', 'SOUMAK' OU 'KARAMANIE' AINSI QUE DES TAPIS SIMIL. TISSÉS À LA MAIN)")</f>
        <v xml:space="preserve">   TAPIS ET AUTRES REVÊTEMENTS DE SOL, DE LAINE OU DE POILS FINS, TISSÉS, NON-TOUFFETÉS NI FLOQUÉS, À VELOURS, NON-CONFECTIONNÉS (À L'EXCL. DES TAPIS DITS 'KELIM', 'KILIM', 'SCHUMACKS', 'SOUMAK' OU 'KARAMANIE' AINSI QUE DES TAPIS SIMIL. TISSÉS À LA MAIN)</v>
      </c>
      <c r="C4390">
        <v>51186527</v>
      </c>
      <c r="D4390">
        <v>5770</v>
      </c>
    </row>
    <row r="4391" spans="1:4" x14ac:dyDescent="0.25">
      <c r="A4391" t="str">
        <f>T("   570242")</f>
        <v xml:space="preserve">   570242</v>
      </c>
      <c r="B4391" t="s">
        <v>242</v>
      </c>
      <c r="C4391">
        <v>2754376</v>
      </c>
      <c r="D4391">
        <v>426</v>
      </c>
    </row>
    <row r="4392" spans="1:4" x14ac:dyDescent="0.25">
      <c r="A4392" t="str">
        <f>T("   570259")</f>
        <v xml:space="preserve">   570259</v>
      </c>
      <c r="B4392" t="s">
        <v>243</v>
      </c>
      <c r="C4392">
        <v>167269</v>
      </c>
      <c r="D4392">
        <v>47</v>
      </c>
    </row>
    <row r="4393" spans="1:4" x14ac:dyDescent="0.25">
      <c r="A4393" t="str">
        <f>T("   570292")</f>
        <v xml:space="preserve">   570292</v>
      </c>
      <c r="B4393" t="s">
        <v>244</v>
      </c>
      <c r="C4393">
        <v>1243045</v>
      </c>
      <c r="D4393">
        <v>225</v>
      </c>
    </row>
    <row r="4394" spans="1:4" x14ac:dyDescent="0.25">
      <c r="A4394" t="str">
        <f>T("   570299")</f>
        <v xml:space="preserve">   570299</v>
      </c>
      <c r="B4394" t="s">
        <v>245</v>
      </c>
      <c r="C4394">
        <v>2917711</v>
      </c>
      <c r="D4394">
        <v>740</v>
      </c>
    </row>
    <row r="4395" spans="1:4" x14ac:dyDescent="0.25">
      <c r="A4395" t="str">
        <f>T("   570310")</f>
        <v xml:space="preserve">   570310</v>
      </c>
      <c r="B4395" t="str">
        <f>T("   Tapis et autres revêtements de sol, de laine ou de poils fins, touffetés, même confectionnés")</f>
        <v xml:space="preserve">   Tapis et autres revêtements de sol, de laine ou de poils fins, touffetés, même confectionnés</v>
      </c>
      <c r="C4395">
        <v>72812</v>
      </c>
      <c r="D4395">
        <v>16</v>
      </c>
    </row>
    <row r="4396" spans="1:4" x14ac:dyDescent="0.25">
      <c r="A4396" t="str">
        <f>T("   570330")</f>
        <v xml:space="preserve">   570330</v>
      </c>
      <c r="B4396" t="str">
        <f>T("   Tapis et autres revêtements de sol, de matières textiles synthétiques ou artificielles, touffetés, même confectionnés (à l'excl. des articles en nylon ou en autres polyamides)")</f>
        <v xml:space="preserve">   Tapis et autres revêtements de sol, de matières textiles synthétiques ou artificielles, touffetés, même confectionnés (à l'excl. des articles en nylon ou en autres polyamides)</v>
      </c>
      <c r="C4396">
        <v>6076814</v>
      </c>
      <c r="D4396">
        <v>11900</v>
      </c>
    </row>
    <row r="4397" spans="1:4" x14ac:dyDescent="0.25">
      <c r="A4397" t="str">
        <f>T("   570490")</f>
        <v xml:space="preserve">   570490</v>
      </c>
      <c r="B4397"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4397">
        <v>5802622</v>
      </c>
      <c r="D4397">
        <v>1061</v>
      </c>
    </row>
    <row r="4398" spans="1:4" x14ac:dyDescent="0.25">
      <c r="A4398" t="str">
        <f>T("   570500")</f>
        <v xml:space="preserve">   570500</v>
      </c>
      <c r="B4398"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4398">
        <v>282719</v>
      </c>
      <c r="D4398">
        <v>103</v>
      </c>
    </row>
    <row r="4399" spans="1:4" x14ac:dyDescent="0.25">
      <c r="A4399" t="str">
        <f>T("   580430")</f>
        <v xml:space="preserve">   580430</v>
      </c>
      <c r="B4399" t="str">
        <f>T("   Dentelles à la main, en pièces, en bandes ou en motifs (à l'excl. des produits du n° 6002 à 6006)")</f>
        <v xml:space="preserve">   Dentelles à la main, en pièces, en bandes ou en motifs (à l'excl. des produits du n° 6002 à 6006)</v>
      </c>
      <c r="C4399">
        <v>450000</v>
      </c>
      <c r="D4399">
        <v>95</v>
      </c>
    </row>
    <row r="4400" spans="1:4" x14ac:dyDescent="0.25">
      <c r="A4400" t="str">
        <f>T("   580500")</f>
        <v xml:space="preserve">   580500</v>
      </c>
      <c r="B4400" t="s">
        <v>246</v>
      </c>
      <c r="C4400">
        <v>2826530</v>
      </c>
      <c r="D4400">
        <v>594</v>
      </c>
    </row>
    <row r="4401" spans="1:4" x14ac:dyDescent="0.25">
      <c r="A4401" t="str">
        <f>T("   580640")</f>
        <v xml:space="preserve">   580640</v>
      </c>
      <c r="B4401" t="str">
        <f>T("   Rubans sans trame, en fils ou fibres parallélisés et encollés [bolducs]")</f>
        <v xml:space="preserve">   Rubans sans trame, en fils ou fibres parallélisés et encollés [bolducs]</v>
      </c>
      <c r="C4401">
        <v>4190929</v>
      </c>
      <c r="D4401">
        <v>1138</v>
      </c>
    </row>
    <row r="4402" spans="1:4" x14ac:dyDescent="0.25">
      <c r="A4402" t="str">
        <f>T("   580790")</f>
        <v xml:space="preserve">   580790</v>
      </c>
      <c r="B4402" t="str">
        <f>T("   ÉTIQUETTES, ÉCUSSONS ET ARTICLES SIMIL. EN MATIÈRES TEXTILES, EN PIÈCES, EN RUBANS OU DÉCOUPÉS, NON-BRODÉS (À L'EXCL. DES ARTICLES TISSÉS)")</f>
        <v xml:space="preserve">   ÉTIQUETTES, ÉCUSSONS ET ARTICLES SIMIL. EN MATIÈRES TEXTILES, EN PIÈCES, EN RUBANS OU DÉCOUPÉS, NON-BRODÉS (À L'EXCL. DES ARTICLES TISSÉS)</v>
      </c>
      <c r="C4402">
        <v>2376543</v>
      </c>
      <c r="D4402">
        <v>232</v>
      </c>
    </row>
    <row r="4403" spans="1:4" x14ac:dyDescent="0.25">
      <c r="A4403" t="str">
        <f>T("   581010")</f>
        <v xml:space="preserve">   581010</v>
      </c>
      <c r="B4403" t="str">
        <f>T("   Broderies chimiques ou aériennes, sur support de matières textiles, et broderies à fond découpé, en pièces, en bandes ou en motifs")</f>
        <v xml:space="preserve">   Broderies chimiques ou aériennes, sur support de matières textiles, et broderies à fond découpé, en pièces, en bandes ou en motifs</v>
      </c>
      <c r="C4403">
        <v>400000</v>
      </c>
      <c r="D4403">
        <v>223</v>
      </c>
    </row>
    <row r="4404" spans="1:4" x14ac:dyDescent="0.25">
      <c r="A4404" t="str">
        <f>T("   590190")</f>
        <v xml:space="preserve">   590190</v>
      </c>
      <c r="B4404" t="str">
        <f>T("   Toiles à calquer ou transparentes pour le dessin; toiles préparées pour la peinture; bougran et tissus simil. raidis des types utilisés pour la chapellerie (à l'excl. des tissus enduits de matière plastique)")</f>
        <v xml:space="preserve">   Toiles à calquer ou transparentes pour le dessin; toiles préparées pour la peinture; bougran et tissus simil. raidis des types utilisés pour la chapellerie (à l'excl. des tissus enduits de matière plastique)</v>
      </c>
      <c r="C4404">
        <v>2443452</v>
      </c>
      <c r="D4404">
        <v>678</v>
      </c>
    </row>
    <row r="4405" spans="1:4" x14ac:dyDescent="0.25">
      <c r="A4405" t="str">
        <f>T("   590390")</f>
        <v xml:space="preserve">   590390</v>
      </c>
      <c r="B4405" t="s">
        <v>247</v>
      </c>
      <c r="C4405">
        <v>633257</v>
      </c>
      <c r="D4405">
        <v>82</v>
      </c>
    </row>
    <row r="4406" spans="1:4" x14ac:dyDescent="0.25">
      <c r="A4406" t="str">
        <f>T("   590700")</f>
        <v xml:space="preserve">   590700</v>
      </c>
      <c r="B4406" t="str">
        <f>T("   Tissus imprégnés, enduits ou recouverts, n.d.a.; toiles peintes pour décors de théâtres, fonds d'atelier ou usages analogues")</f>
        <v xml:space="preserve">   Tissus imprégnés, enduits ou recouverts, n.d.a.; toiles peintes pour décors de théâtres, fonds d'atelier ou usages analogues</v>
      </c>
      <c r="C4406">
        <v>978036</v>
      </c>
      <c r="D4406">
        <v>162</v>
      </c>
    </row>
    <row r="4407" spans="1:4" x14ac:dyDescent="0.25">
      <c r="A4407" t="str">
        <f>T("   590900")</f>
        <v xml:space="preserve">   590900</v>
      </c>
      <c r="B4407" t="str">
        <f>T("   Tuyaux pour pompes et tuyaux simil., en matières textiles, même imprégnés ou enduits, même avec armatures ou accessoires en autres matières")</f>
        <v xml:space="preserve">   Tuyaux pour pompes et tuyaux simil., en matières textiles, même imprégnés ou enduits, même avec armatures ou accessoires en autres matières</v>
      </c>
      <c r="C4407">
        <v>790432</v>
      </c>
      <c r="D4407">
        <v>2080</v>
      </c>
    </row>
    <row r="4408" spans="1:4" x14ac:dyDescent="0.25">
      <c r="A4408" t="str">
        <f>T("   591000")</f>
        <v xml:space="preserve">   591000</v>
      </c>
      <c r="B4408" t="s">
        <v>249</v>
      </c>
      <c r="C4408">
        <v>1496245</v>
      </c>
      <c r="D4408">
        <v>75</v>
      </c>
    </row>
    <row r="4409" spans="1:4" x14ac:dyDescent="0.25">
      <c r="A4409" t="str">
        <f>T("   591110")</f>
        <v xml:space="preserve">   591110</v>
      </c>
      <c r="B4409" t="s">
        <v>250</v>
      </c>
      <c r="C4409">
        <v>5734507</v>
      </c>
      <c r="D4409">
        <v>8485</v>
      </c>
    </row>
    <row r="4410" spans="1:4" x14ac:dyDescent="0.25">
      <c r="A4410" t="str">
        <f>T("   591140")</f>
        <v xml:space="preserve">   591140</v>
      </c>
      <c r="B4410" t="str">
        <f>T("   Etreindelles et tissus épais des types utilisés sur des presses d'huilerie ou pour des usages techniques analogues, y.c. ceux en cheveux")</f>
        <v xml:space="preserve">   Etreindelles et tissus épais des types utilisés sur des presses d'huilerie ou pour des usages techniques analogues, y.c. ceux en cheveux</v>
      </c>
      <c r="C4410">
        <v>91976742</v>
      </c>
      <c r="D4410">
        <v>9154</v>
      </c>
    </row>
    <row r="4411" spans="1:4" x14ac:dyDescent="0.25">
      <c r="A4411" t="str">
        <f>T("   591190")</f>
        <v xml:space="preserve">   591190</v>
      </c>
      <c r="B4411" t="str">
        <f>T("   Produits et articles textiles pour usages techniques, en matières textiles, visés à la note 7 du présent chapitre, n.d.a.")</f>
        <v xml:space="preserve">   Produits et articles textiles pour usages techniques, en matières textiles, visés à la note 7 du présent chapitre, n.d.a.</v>
      </c>
      <c r="C4411">
        <v>1655643</v>
      </c>
      <c r="D4411">
        <v>320</v>
      </c>
    </row>
    <row r="4412" spans="1:4" x14ac:dyDescent="0.25">
      <c r="A4412" t="str">
        <f>T("   610349")</f>
        <v xml:space="preserve">   610349</v>
      </c>
      <c r="B4412"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4412">
        <v>1805241</v>
      </c>
      <c r="D4412">
        <v>72</v>
      </c>
    </row>
    <row r="4413" spans="1:4" x14ac:dyDescent="0.25">
      <c r="A4413" t="str">
        <f>T("   610449")</f>
        <v xml:space="preserve">   610449</v>
      </c>
      <c r="B4413" t="str">
        <f>T("   Robes en bonneterie, de matières textiles, pour femmes ou fillettes (sauf de laine, poils fins, coton, fibres synthétiques ou artificielles et sauf combinaisons et fonds de robes)")</f>
        <v xml:space="preserve">   Robes en bonneterie, de matières textiles, pour femmes ou fillettes (sauf de laine, poils fins, coton, fibres synthétiques ou artificielles et sauf combinaisons et fonds de robes)</v>
      </c>
      <c r="C4413">
        <v>379473</v>
      </c>
      <c r="D4413">
        <v>230</v>
      </c>
    </row>
    <row r="4414" spans="1:4" x14ac:dyDescent="0.25">
      <c r="A4414" t="str">
        <f>T("   610510")</f>
        <v xml:space="preserve">   610510</v>
      </c>
      <c r="B4414"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4414">
        <v>16423834</v>
      </c>
      <c r="D4414">
        <v>1077</v>
      </c>
    </row>
    <row r="4415" spans="1:4" x14ac:dyDescent="0.25">
      <c r="A4415" t="str">
        <f>T("   610590")</f>
        <v xml:space="preserve">   610590</v>
      </c>
      <c r="B4415"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4415">
        <v>6704023</v>
      </c>
      <c r="D4415">
        <v>1697</v>
      </c>
    </row>
    <row r="4416" spans="1:4" x14ac:dyDescent="0.25">
      <c r="A4416" t="str">
        <f>T("   610610")</f>
        <v xml:space="preserve">   610610</v>
      </c>
      <c r="B4416" t="str">
        <f>T("   Chemisiers, blouses, blouses-chemisiers et chemisettes, en bonneterie, de coton, pour femmes ou fillettes (sauf T-shirts et gilets de corps)")</f>
        <v xml:space="preserve">   Chemisiers, blouses, blouses-chemisiers et chemisettes, en bonneterie, de coton, pour femmes ou fillettes (sauf T-shirts et gilets de corps)</v>
      </c>
      <c r="C4416">
        <v>987220</v>
      </c>
      <c r="D4416">
        <v>54</v>
      </c>
    </row>
    <row r="4417" spans="1:4" x14ac:dyDescent="0.25">
      <c r="A4417" t="str">
        <f>T("   610711")</f>
        <v xml:space="preserve">   610711</v>
      </c>
      <c r="B4417" t="str">
        <f>T("   SLIPS ET CALETHONS, EN BONNETERIE, DE COTON, POUR HOMMES OU GARÇONNETS")</f>
        <v xml:space="preserve">   SLIPS ET CALETHONS, EN BONNETERIE, DE COTON, POUR HOMMES OU GARÇONNETS</v>
      </c>
      <c r="C4417">
        <v>365698</v>
      </c>
      <c r="D4417">
        <v>220</v>
      </c>
    </row>
    <row r="4418" spans="1:4" x14ac:dyDescent="0.25">
      <c r="A4418" t="str">
        <f>T("   610792")</f>
        <v xml:space="preserve">   610792</v>
      </c>
      <c r="B4418" t="str">
        <f>T("   Peignoirs de bain, robes de chambre et articles simil., en bonneterie, de fibres synthétiques ou artificielles, pour hommes ou garçonnets")</f>
        <v xml:space="preserve">   Peignoirs de bain, robes de chambre et articles simil., en bonneterie, de fibres synthétiques ou artificielles, pour hommes ou garçonnets</v>
      </c>
      <c r="C4418">
        <v>13900</v>
      </c>
      <c r="D4418">
        <v>163</v>
      </c>
    </row>
    <row r="4419" spans="1:4" x14ac:dyDescent="0.25">
      <c r="A4419" t="str">
        <f>T("   610821")</f>
        <v xml:space="preserve">   610821</v>
      </c>
      <c r="B4419" t="str">
        <f>T("   Slips et culottes, en bonneterie, de coton, pour femmes ou fillettes")</f>
        <v xml:space="preserve">   Slips et culottes, en bonneterie, de coton, pour femmes ou fillettes</v>
      </c>
      <c r="C4419">
        <v>2319475</v>
      </c>
      <c r="D4419">
        <v>161</v>
      </c>
    </row>
    <row r="4420" spans="1:4" x14ac:dyDescent="0.25">
      <c r="A4420" t="str">
        <f>T("   610822")</f>
        <v xml:space="preserve">   610822</v>
      </c>
      <c r="B4420" t="str">
        <f>T("   Slips et culottes, en bonneterie, de fibres synthétiques ou artificielles, pour femmes ou fillettes")</f>
        <v xml:space="preserve">   Slips et culottes, en bonneterie, de fibres synthétiques ou artificielles, pour femmes ou fillettes</v>
      </c>
      <c r="C4420">
        <v>1822914</v>
      </c>
      <c r="D4420">
        <v>127</v>
      </c>
    </row>
    <row r="4421" spans="1:4" x14ac:dyDescent="0.25">
      <c r="A4421" t="str">
        <f>T("   610829")</f>
        <v xml:space="preserve">   610829</v>
      </c>
      <c r="B4421" t="str">
        <f>T("   Slips et culottes, en bonneterie, de matières textiles, pour femmes ou fillettes (sauf de coton ou fibres synthétiques ou artificielles)")</f>
        <v xml:space="preserve">   Slips et culottes, en bonneterie, de matières textiles, pour femmes ou fillettes (sauf de coton ou fibres synthétiques ou artificielles)</v>
      </c>
      <c r="C4421">
        <v>1860959</v>
      </c>
      <c r="D4421">
        <v>134</v>
      </c>
    </row>
    <row r="4422" spans="1:4" x14ac:dyDescent="0.25">
      <c r="A4422" t="str">
        <f>T("   610831")</f>
        <v xml:space="preserve">   610831</v>
      </c>
      <c r="B4422" t="str">
        <f>T("   Chemises de nuit et pyjamas, en bonneterie, de coton, pour femmes ou fillettes (sauf T-shirts, gilets de corps et déshabillés)")</f>
        <v xml:space="preserve">   Chemises de nuit et pyjamas, en bonneterie, de coton, pour femmes ou fillettes (sauf T-shirts, gilets de corps et déshabillés)</v>
      </c>
      <c r="C4422">
        <v>2505768</v>
      </c>
      <c r="D4422">
        <v>266</v>
      </c>
    </row>
    <row r="4423" spans="1:4" x14ac:dyDescent="0.25">
      <c r="A4423" t="str">
        <f>T("   610910")</f>
        <v xml:space="preserve">   610910</v>
      </c>
      <c r="B4423" t="str">
        <f>T("   T-shirts et maillots de corps, en bonneterie, de coton,")</f>
        <v xml:space="preserve">   T-shirts et maillots de corps, en bonneterie, de coton,</v>
      </c>
      <c r="C4423">
        <v>28912812</v>
      </c>
      <c r="D4423">
        <v>6825.5</v>
      </c>
    </row>
    <row r="4424" spans="1:4" x14ac:dyDescent="0.25">
      <c r="A4424" t="str">
        <f>T("   610990")</f>
        <v xml:space="preserve">   610990</v>
      </c>
      <c r="B4424" t="str">
        <f>T("   T-shirts et maillots de corps, en bonneterie, de matières textiles (sauf de coton)")</f>
        <v xml:space="preserve">   T-shirts et maillots de corps, en bonneterie, de matières textiles (sauf de coton)</v>
      </c>
      <c r="C4424">
        <v>55269706</v>
      </c>
      <c r="D4424">
        <v>8002</v>
      </c>
    </row>
    <row r="4425" spans="1:4" x14ac:dyDescent="0.25">
      <c r="A4425" t="str">
        <f>T("   611090")</f>
        <v xml:space="preserve">   611090</v>
      </c>
      <c r="B4425" t="str">
        <f>T("   Chandails, pull-overs, cardigans, gilets et articles simil., y.c. les sous-pulls, en bonneterie, de matières textiles (sauf de laine, poils fins, coton, fibres synthétiques ou artificielles et sauf gilets ouatinés)")</f>
        <v xml:space="preserve">   Chandails, pull-overs, cardigans, gilets et articles simil., y.c. les sous-pulls, en bonneterie, de matières textiles (sauf de laine, poils fins, coton, fibres synthétiques ou artificielles et sauf gilets ouatinés)</v>
      </c>
      <c r="C4425">
        <v>2459194</v>
      </c>
      <c r="D4425">
        <v>251</v>
      </c>
    </row>
    <row r="4426" spans="1:4" x14ac:dyDescent="0.25">
      <c r="A4426" t="str">
        <f>T("   611120")</f>
        <v xml:space="preserve">   611120</v>
      </c>
      <c r="B4426" t="str">
        <f>T("   Vêtements et accessoires du vêtement, en bonneterie, de coton, pour bébés (sauf gants et bonnets)")</f>
        <v xml:space="preserve">   Vêtements et accessoires du vêtement, en bonneterie, de coton, pour bébés (sauf gants et bonnets)</v>
      </c>
      <c r="C4426">
        <v>4943382</v>
      </c>
      <c r="D4426">
        <v>404</v>
      </c>
    </row>
    <row r="4427" spans="1:4" x14ac:dyDescent="0.25">
      <c r="A4427" t="str">
        <f>T("   611219")</f>
        <v xml:space="preserve">   611219</v>
      </c>
      <c r="B4427" t="str">
        <f>T("   Survêtements de sport 'trainings', en bonneterie, de matières textiles (sauf de coton ou fibres synthétiques)")</f>
        <v xml:space="preserve">   Survêtements de sport 'trainings', en bonneterie, de matières textiles (sauf de coton ou fibres synthétiques)</v>
      </c>
      <c r="C4427">
        <v>662520</v>
      </c>
      <c r="D4427">
        <v>10</v>
      </c>
    </row>
    <row r="4428" spans="1:4" x14ac:dyDescent="0.25">
      <c r="A4428" t="str">
        <f>T("   611231")</f>
        <v xml:space="preserve">   611231</v>
      </c>
      <c r="B4428" t="str">
        <f>T("   Maillots, culottes et slips de bain, en bonneterie, de fibres synthétiques, pour hommes ou garçonnets")</f>
        <v xml:space="preserve">   Maillots, culottes et slips de bain, en bonneterie, de fibres synthétiques, pour hommes ou garçonnets</v>
      </c>
      <c r="C4428">
        <v>639562</v>
      </c>
      <c r="D4428">
        <v>19</v>
      </c>
    </row>
    <row r="4429" spans="1:4" x14ac:dyDescent="0.25">
      <c r="A4429" t="str">
        <f>T("   611239")</f>
        <v xml:space="preserve">   611239</v>
      </c>
      <c r="B4429" t="str">
        <f>T("   Maillots, culottes et slips de bain, en bonneterie, de matières textiles, pour hommes ou garçonnets (sauf de fibres synthétiques)")</f>
        <v xml:space="preserve">   Maillots, culottes et slips de bain, en bonneterie, de matières textiles, pour hommes ou garçonnets (sauf de fibres synthétiques)</v>
      </c>
      <c r="C4429">
        <v>4335391</v>
      </c>
      <c r="D4429">
        <v>175</v>
      </c>
    </row>
    <row r="4430" spans="1:4" x14ac:dyDescent="0.25">
      <c r="A4430" t="str">
        <f>T("   611241")</f>
        <v xml:space="preserve">   611241</v>
      </c>
      <c r="B4430" t="str">
        <f>T("   Maillots, culottes et slips de bain, en bonneterie, de fibres synthétiques, pour femmes ou fillettes")</f>
        <v xml:space="preserve">   Maillots, culottes et slips de bain, en bonneterie, de fibres synthétiques, pour femmes ou fillettes</v>
      </c>
      <c r="C4430">
        <v>25392213</v>
      </c>
      <c r="D4430">
        <v>3504</v>
      </c>
    </row>
    <row r="4431" spans="1:4" x14ac:dyDescent="0.25">
      <c r="A4431" t="str">
        <f>T("   611249")</f>
        <v xml:space="preserve">   611249</v>
      </c>
      <c r="B4431" t="str">
        <f>T("   Maillots, culottes et slips de bain, en bonneterie, de matières textiles, pour femmes ou fillettes (sauf de fibres synthétiques)")</f>
        <v xml:space="preserve">   Maillots, culottes et slips de bain, en bonneterie, de matières textiles, pour femmes ou fillettes (sauf de fibres synthétiques)</v>
      </c>
      <c r="C4431">
        <v>2699931</v>
      </c>
      <c r="D4431">
        <v>61</v>
      </c>
    </row>
    <row r="4432" spans="1:4" x14ac:dyDescent="0.25">
      <c r="A4432" t="str">
        <f>T("   611420")</f>
        <v xml:space="preserve">   611420</v>
      </c>
      <c r="B4432" t="str">
        <f>T("   Vêtements spéciaux destinés à des fins professionnelles, sportives ou autres n.d.a., en bonneterie, de coton")</f>
        <v xml:space="preserve">   Vêtements spéciaux destinés à des fins professionnelles, sportives ou autres n.d.a., en bonneterie, de coton</v>
      </c>
      <c r="C4432">
        <v>688758</v>
      </c>
      <c r="D4432">
        <v>18</v>
      </c>
    </row>
    <row r="4433" spans="1:4" x14ac:dyDescent="0.25">
      <c r="A4433" t="str">
        <f>T("   611490")</f>
        <v xml:space="preserve">   611490</v>
      </c>
      <c r="B4433"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4433">
        <v>15283210</v>
      </c>
      <c r="D4433">
        <v>20598</v>
      </c>
    </row>
    <row r="4434" spans="1:4" x14ac:dyDescent="0.25">
      <c r="A4434" t="str">
        <f>T("   611592")</f>
        <v xml:space="preserve">   611592</v>
      </c>
      <c r="B4434" t="str">
        <f>T("   BAS ET MI-BAS, CHAUSSETTES ET AUTRES ARTICLES CHAUSSANTS, Y.C. LES BAS À VARICES, EN BONNETERIE, DE COTON (SAUF COLLANTS 'BAS-CULOTTES' BAS ET MI-BAS DE FEMMES À TITRE EN FILS SIMPLES &lt; 67 DÉCITEX ET SAUF ARTICLES CHAUSSANTS POUR BÉBÉS)")</f>
        <v xml:space="preserve">   BAS ET MI-BAS, CHAUSSETTES ET AUTRES ARTICLES CHAUSSANTS, Y.C. LES BAS À VARICES, EN BONNETERIE, DE COTON (SAUF COLLANTS 'BAS-CULOTTES' BAS ET MI-BAS DE FEMMES À TITRE EN FILS SIMPLES &lt; 67 DÉCITEX ET SAUF ARTICLES CHAUSSANTS POUR BÉBÉS)</v>
      </c>
      <c r="C4434">
        <v>3130897</v>
      </c>
      <c r="D4434">
        <v>226</v>
      </c>
    </row>
    <row r="4435" spans="1:4" x14ac:dyDescent="0.25">
      <c r="A4435" t="str">
        <f>T("   611599")</f>
        <v xml:space="preserve">   611599</v>
      </c>
      <c r="B4435" t="s">
        <v>257</v>
      </c>
      <c r="C4435">
        <v>1128087</v>
      </c>
      <c r="D4435">
        <v>52</v>
      </c>
    </row>
    <row r="4436" spans="1:4" x14ac:dyDescent="0.25">
      <c r="A4436" t="str">
        <f>T("   611610")</f>
        <v xml:space="preserve">   611610</v>
      </c>
      <c r="B4436" t="str">
        <f>T("   Gants, mitaines et moufles, en bonneterie, imprégnés, enduits ou recouverts de matières plastiques ou de caoutchouc (sauf pour bébés)")</f>
        <v xml:space="preserve">   Gants, mitaines et moufles, en bonneterie, imprégnés, enduits ou recouverts de matières plastiques ou de caoutchouc (sauf pour bébés)</v>
      </c>
      <c r="C4436">
        <v>224476</v>
      </c>
      <c r="D4436">
        <v>12</v>
      </c>
    </row>
    <row r="4437" spans="1:4" x14ac:dyDescent="0.25">
      <c r="A4437" t="str">
        <f>T("   611692")</f>
        <v xml:space="preserve">   611692</v>
      </c>
      <c r="B4437" t="str">
        <f>T("   Gants, mitaines et moufles, en bonneterie, de coton (sauf imprégnés, enduits ou recouverts de matière plastique ou de caoutchouc et sauf pour bébés)")</f>
        <v xml:space="preserve">   Gants, mitaines et moufles, en bonneterie, de coton (sauf imprégnés, enduits ou recouverts de matière plastique ou de caoutchouc et sauf pour bébés)</v>
      </c>
      <c r="C4437">
        <v>28207</v>
      </c>
      <c r="D4437">
        <v>18</v>
      </c>
    </row>
    <row r="4438" spans="1:4" x14ac:dyDescent="0.25">
      <c r="A4438" t="str">
        <f>T("   611710")</f>
        <v xml:space="preserve">   611710</v>
      </c>
      <c r="B4438" t="str">
        <f>T("   Châles, écharpes, foulards, cache-nez, cache-col, mantilles, voiles, voilettes et articles simil., en bonneterie")</f>
        <v xml:space="preserve">   Châles, écharpes, foulards, cache-nez, cache-col, mantilles, voiles, voilettes et articles simil., en bonneterie</v>
      </c>
      <c r="C4438">
        <v>59233</v>
      </c>
      <c r="D4438">
        <v>30</v>
      </c>
    </row>
    <row r="4439" spans="1:4" x14ac:dyDescent="0.25">
      <c r="A4439" t="str">
        <f>T("   620299")</f>
        <v xml:space="preserve">   620299</v>
      </c>
      <c r="B4439" t="s">
        <v>259</v>
      </c>
      <c r="C4439">
        <v>2509290</v>
      </c>
      <c r="D4439">
        <v>326</v>
      </c>
    </row>
    <row r="4440" spans="1:4" x14ac:dyDescent="0.25">
      <c r="A4440" t="str">
        <f>T("   620319")</f>
        <v xml:space="preserve">   620319</v>
      </c>
      <c r="B4440" t="s">
        <v>260</v>
      </c>
      <c r="C4440">
        <v>3335491</v>
      </c>
      <c r="D4440">
        <v>2928</v>
      </c>
    </row>
    <row r="4441" spans="1:4" x14ac:dyDescent="0.25">
      <c r="A4441" t="str">
        <f>T("   620329")</f>
        <v xml:space="preserve">   620329</v>
      </c>
      <c r="B4441"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4441">
        <v>1503210</v>
      </c>
      <c r="D4441">
        <v>1010</v>
      </c>
    </row>
    <row r="4442" spans="1:4" x14ac:dyDescent="0.25">
      <c r="A4442" t="str">
        <f>T("   620342")</f>
        <v xml:space="preserve">   620342</v>
      </c>
      <c r="B4442"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4442">
        <v>6365436</v>
      </c>
      <c r="D4442">
        <v>690</v>
      </c>
    </row>
    <row r="4443" spans="1:4" x14ac:dyDescent="0.25">
      <c r="A4443" t="str">
        <f>T("   620349")</f>
        <v xml:space="preserve">   620349</v>
      </c>
      <c r="B4443" t="s">
        <v>261</v>
      </c>
      <c r="C4443">
        <v>2550724</v>
      </c>
      <c r="D4443">
        <v>1033</v>
      </c>
    </row>
    <row r="4444" spans="1:4" x14ac:dyDescent="0.25">
      <c r="A4444" t="str">
        <f>T("   620419")</f>
        <v xml:space="preserve">   620419</v>
      </c>
      <c r="B4444" t="str">
        <f>T("   Costumes tailleurs, de matières textiles, pour femmes ou fillettes (autres que laine, poils fins, coton ou fibres synthétiques, autres qu'en bonneterie et sauf combinaisons de ski et vêtements de bain)")</f>
        <v xml:space="preserve">   Costumes tailleurs, de matières textiles, pour femmes ou fillettes (autres que laine, poils fins, coton ou fibres synthétiques, autres qu'en bonneterie et sauf combinaisons de ski et vêtements de bain)</v>
      </c>
      <c r="C4444">
        <v>2164478</v>
      </c>
      <c r="D4444">
        <v>5236</v>
      </c>
    </row>
    <row r="4445" spans="1:4" x14ac:dyDescent="0.25">
      <c r="A4445" t="str">
        <f>T("   620439")</f>
        <v xml:space="preserve">   620439</v>
      </c>
      <c r="B4445" t="str">
        <f>T("   Vestes de matières textiles, pour femmes ou fillettes (autres que laine, poils fins, coton ou fibres synthétiques, autres qu'en bonneterie et sauf anoraks et articles simil.)")</f>
        <v xml:space="preserve">   Vestes de matières textiles, pour femmes ou fillettes (autres que laine, poils fins, coton ou fibres synthétiques, autres qu'en bonneterie et sauf anoraks et articles simil.)</v>
      </c>
      <c r="C4445">
        <v>6739333</v>
      </c>
      <c r="D4445">
        <v>197</v>
      </c>
    </row>
    <row r="4446" spans="1:4" x14ac:dyDescent="0.25">
      <c r="A4446" t="str">
        <f>T("   620442")</f>
        <v xml:space="preserve">   620442</v>
      </c>
      <c r="B4446" t="str">
        <f>T("   Robes de coton, pour femmes ou fillettes (autres qu'en bonneterie et sauf combinaisons et fonds de robes)")</f>
        <v xml:space="preserve">   Robes de coton, pour femmes ou fillettes (autres qu'en bonneterie et sauf combinaisons et fonds de robes)</v>
      </c>
      <c r="C4446">
        <v>5484482</v>
      </c>
      <c r="D4446">
        <v>396</v>
      </c>
    </row>
    <row r="4447" spans="1:4" x14ac:dyDescent="0.25">
      <c r="A4447" t="str">
        <f>T("   620449")</f>
        <v xml:space="preserve">   620449</v>
      </c>
      <c r="B4447" t="str">
        <f>T("   Robes de matières textiles, pour femmes ou fillettes (autres que laine, poils fins, coton, fibres synthétiques ou artificielles, autres qu'en bonneterie et sauf combinaisons et fonds de robes)")</f>
        <v xml:space="preserve">   Robes de matières textiles, pour femmes ou fillettes (autres que laine, poils fins, coton, fibres synthétiques ou artificielles, autres qu'en bonneterie et sauf combinaisons et fonds de robes)</v>
      </c>
      <c r="C4447">
        <v>1275427</v>
      </c>
      <c r="D4447">
        <v>1680</v>
      </c>
    </row>
    <row r="4448" spans="1:4" x14ac:dyDescent="0.25">
      <c r="A4448" t="str">
        <f>T("   620469")</f>
        <v xml:space="preserve">   620469</v>
      </c>
      <c r="B4448" t="s">
        <v>262</v>
      </c>
      <c r="C4448">
        <v>6712981</v>
      </c>
      <c r="D4448">
        <v>1085</v>
      </c>
    </row>
    <row r="4449" spans="1:4" x14ac:dyDescent="0.25">
      <c r="A4449" t="str">
        <f>T("   620520")</f>
        <v xml:space="preserve">   620520</v>
      </c>
      <c r="B4449"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4449">
        <v>10893506</v>
      </c>
      <c r="D4449">
        <v>4072</v>
      </c>
    </row>
    <row r="4450" spans="1:4" x14ac:dyDescent="0.25">
      <c r="A4450" t="str">
        <f>T("   620590")</f>
        <v xml:space="preserve">   620590</v>
      </c>
      <c r="B445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450">
        <v>42569753</v>
      </c>
      <c r="D4450">
        <v>65658</v>
      </c>
    </row>
    <row r="4451" spans="1:4" x14ac:dyDescent="0.25">
      <c r="A4451" t="str">
        <f>T("   620690")</f>
        <v xml:space="preserve">   620690</v>
      </c>
      <c r="B4451" t="s">
        <v>263</v>
      </c>
      <c r="C4451">
        <v>1681604</v>
      </c>
      <c r="D4451">
        <v>2534</v>
      </c>
    </row>
    <row r="4452" spans="1:4" x14ac:dyDescent="0.25">
      <c r="A4452" t="str">
        <f>T("   620711")</f>
        <v xml:space="preserve">   620711</v>
      </c>
      <c r="B4452" t="str">
        <f>T("   SLIPS ET CALETHONS, DE COTON, POUR HOMMES OU GARÇONNETS (AUTRES QU'EN BONNETERIE)")</f>
        <v xml:space="preserve">   SLIPS ET CALETHONS, DE COTON, POUR HOMMES OU GARÇONNETS (AUTRES QU'EN BONNETERIE)</v>
      </c>
      <c r="C4452">
        <v>336508</v>
      </c>
      <c r="D4452">
        <v>19</v>
      </c>
    </row>
    <row r="4453" spans="1:4" x14ac:dyDescent="0.25">
      <c r="A4453" t="str">
        <f>T("   620719")</f>
        <v xml:space="preserve">   620719</v>
      </c>
      <c r="B4453" t="str">
        <f>T("   SLIPS ET CALETHONS, DE MATIÈRES TEXTILES, POUR HOMMES OU GARÇONNETS (AUTRES QUE DE COTON ET AUTRES QU'EN BONNETERIE)")</f>
        <v xml:space="preserve">   SLIPS ET CALETHONS, DE MATIÈRES TEXTILES, POUR HOMMES OU GARÇONNETS (AUTRES QUE DE COTON ET AUTRES QU'EN BONNETERIE)</v>
      </c>
      <c r="C4453">
        <v>3740283</v>
      </c>
      <c r="D4453">
        <v>270</v>
      </c>
    </row>
    <row r="4454" spans="1:4" x14ac:dyDescent="0.25">
      <c r="A4454" t="str">
        <f>T("   620821")</f>
        <v xml:space="preserve">   620821</v>
      </c>
      <c r="B4454" t="str">
        <f>T("   Chemises de nuit et pyjamas, de coton, pour femmes ou fillettes (autres qu'en bonneterie et sauf gilets de corps, chemises de jour et déshabillés)")</f>
        <v xml:space="preserve">   Chemises de nuit et pyjamas, de coton, pour femmes ou fillettes (autres qu'en bonneterie et sauf gilets de corps, chemises de jour et déshabillés)</v>
      </c>
      <c r="C4454">
        <v>2503144</v>
      </c>
      <c r="D4454">
        <v>268</v>
      </c>
    </row>
    <row r="4455" spans="1:4" x14ac:dyDescent="0.25">
      <c r="A4455" t="str">
        <f>T("   620899")</f>
        <v xml:space="preserve">   620899</v>
      </c>
      <c r="B4455" t="s">
        <v>264</v>
      </c>
      <c r="C4455">
        <v>456548</v>
      </c>
      <c r="D4455">
        <v>1547</v>
      </c>
    </row>
    <row r="4456" spans="1:4" x14ac:dyDescent="0.25">
      <c r="A4456" t="str">
        <f>T("   620990")</f>
        <v xml:space="preserve">   620990</v>
      </c>
      <c r="B4456"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4456">
        <v>5749490</v>
      </c>
      <c r="D4456">
        <v>342</v>
      </c>
    </row>
    <row r="4457" spans="1:4" x14ac:dyDescent="0.25">
      <c r="A4457" t="str">
        <f>T("   621010")</f>
        <v xml:space="preserve">   621010</v>
      </c>
      <c r="B4457" t="str">
        <f>T("   Vêtements en feutres ou non-tissés, même imprégnés, enduits, recouverts ou stratifiés (sauf vêtements pour bébés et sauf accessoires du vêtement)")</f>
        <v xml:space="preserve">   Vêtements en feutres ou non-tissés, même imprégnés, enduits, recouverts ou stratifiés (sauf vêtements pour bébés et sauf accessoires du vêtement)</v>
      </c>
      <c r="C4457">
        <v>1778964</v>
      </c>
      <c r="D4457">
        <v>171</v>
      </c>
    </row>
    <row r="4458" spans="1:4" x14ac:dyDescent="0.25">
      <c r="A4458" t="str">
        <f>T("   621020")</f>
        <v xml:space="preserve">   621020</v>
      </c>
      <c r="B4458"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4458">
        <v>807976</v>
      </c>
      <c r="D4458">
        <v>657</v>
      </c>
    </row>
    <row r="4459" spans="1:4" x14ac:dyDescent="0.25">
      <c r="A4459" t="str">
        <f>T("   621040")</f>
        <v xml:space="preserve">   621040</v>
      </c>
      <c r="B4459" t="s">
        <v>265</v>
      </c>
      <c r="C4459">
        <v>31385802</v>
      </c>
      <c r="D4459">
        <v>36219</v>
      </c>
    </row>
    <row r="4460" spans="1:4" x14ac:dyDescent="0.25">
      <c r="A4460" t="str">
        <f>T("   621050")</f>
        <v xml:space="preserve">   621050</v>
      </c>
      <c r="B4460" t="s">
        <v>266</v>
      </c>
      <c r="C4460">
        <v>2153847</v>
      </c>
      <c r="D4460">
        <v>1819</v>
      </c>
    </row>
    <row r="4461" spans="1:4" x14ac:dyDescent="0.25">
      <c r="A4461" t="str">
        <f>T("   621132")</f>
        <v xml:space="preserve">   621132</v>
      </c>
      <c r="B4461" t="str">
        <f>T("   Survêtements de sport 'trainings' et autres vêtements n.d.a., de coton, pour hommes ou garçonnets (autres qu'en bonneterie)")</f>
        <v xml:space="preserve">   Survêtements de sport 'trainings' et autres vêtements n.d.a., de coton, pour hommes ou garçonnets (autres qu'en bonneterie)</v>
      </c>
      <c r="C4461">
        <v>3640158</v>
      </c>
      <c r="D4461">
        <v>635</v>
      </c>
    </row>
    <row r="4462" spans="1:4" x14ac:dyDescent="0.25">
      <c r="A4462" t="str">
        <f>T("   621139")</f>
        <v xml:space="preserve">   621139</v>
      </c>
      <c r="B4462"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4462">
        <v>3526441</v>
      </c>
      <c r="D4462">
        <v>135</v>
      </c>
    </row>
    <row r="4463" spans="1:4" x14ac:dyDescent="0.25">
      <c r="A4463" t="str">
        <f>T("   621149")</f>
        <v xml:space="preserve">   621149</v>
      </c>
      <c r="B4463"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4463">
        <v>3146641</v>
      </c>
      <c r="D4463">
        <v>70</v>
      </c>
    </row>
    <row r="4464" spans="1:4" x14ac:dyDescent="0.25">
      <c r="A4464" t="str">
        <f>T("   621210")</f>
        <v xml:space="preserve">   621210</v>
      </c>
      <c r="B4464" t="str">
        <f>T("   Soutiens-gorge et bustiers en tous types de matières textiles, même élastiques et même en bonneterie")</f>
        <v xml:space="preserve">   Soutiens-gorge et bustiers en tous types de matières textiles, même élastiques et même en bonneterie</v>
      </c>
      <c r="C4464">
        <v>2522823</v>
      </c>
      <c r="D4464">
        <v>450</v>
      </c>
    </row>
    <row r="4465" spans="1:4" x14ac:dyDescent="0.25">
      <c r="A4465" t="str">
        <f>T("   621220")</f>
        <v xml:space="preserve">   621220</v>
      </c>
      <c r="B4465" t="str">
        <f>T("   Gaines et gaines-culottes en tous types de matières textiles, même élastiques et même en bonneterie (sauf gaines et gaine-culottes entièrement en caoutchouc)")</f>
        <v xml:space="preserve">   Gaines et gaines-culottes en tous types de matières textiles, même élastiques et même en bonneterie (sauf gaines et gaine-culottes entièrement en caoutchouc)</v>
      </c>
      <c r="C4465">
        <v>874054</v>
      </c>
      <c r="D4465">
        <v>1180</v>
      </c>
    </row>
    <row r="4466" spans="1:4" x14ac:dyDescent="0.25">
      <c r="A4466" t="str">
        <f>T("   621290")</f>
        <v xml:space="preserve">   621290</v>
      </c>
      <c r="B4466" t="s">
        <v>267</v>
      </c>
      <c r="C4466">
        <v>443429</v>
      </c>
      <c r="D4466">
        <v>836</v>
      </c>
    </row>
    <row r="4467" spans="1:4" x14ac:dyDescent="0.25">
      <c r="A4467" t="str">
        <f>T("   621390")</f>
        <v xml:space="preserve">   621390</v>
      </c>
      <c r="B4467" t="str">
        <f>T("   Mouchoirs et pochettes dont un côté &lt;= 60 cm, de matières textiles (autres que de soie et déchets de soie ou coton, autres qu'en bonneterie)")</f>
        <v xml:space="preserve">   Mouchoirs et pochettes dont un côté &lt;= 60 cm, de matières textiles (autres que de soie et déchets de soie ou coton, autres qu'en bonneterie)</v>
      </c>
      <c r="C4467">
        <v>30174</v>
      </c>
      <c r="D4467">
        <v>21</v>
      </c>
    </row>
    <row r="4468" spans="1:4" x14ac:dyDescent="0.25">
      <c r="A4468" t="str">
        <f>T("   621600")</f>
        <v xml:space="preserve">   621600</v>
      </c>
      <c r="B4468" t="str">
        <f>T("   Gants, mitaines et moufles, en tous types de matières textiles (autres qu'en bonneterie et sauf gants pour bébés)")</f>
        <v xml:space="preserve">   Gants, mitaines et moufles, en tous types de matières textiles (autres qu'en bonneterie et sauf gants pour bébés)</v>
      </c>
      <c r="C4468">
        <v>500000</v>
      </c>
      <c r="D4468">
        <v>1700</v>
      </c>
    </row>
    <row r="4469" spans="1:4" x14ac:dyDescent="0.25">
      <c r="A4469" t="str">
        <f>T("   630190")</f>
        <v xml:space="preserve">   630190</v>
      </c>
      <c r="B4469" t="s">
        <v>268</v>
      </c>
      <c r="C4469">
        <v>1528387</v>
      </c>
      <c r="D4469">
        <v>1000</v>
      </c>
    </row>
    <row r="4470" spans="1:4" x14ac:dyDescent="0.25">
      <c r="A4470" t="str">
        <f>T("   630221")</f>
        <v xml:space="preserve">   630221</v>
      </c>
      <c r="B4470" t="str">
        <f>T("   Linge de lit de coton, imprimé (autre qu'en bonneterie)")</f>
        <v xml:space="preserve">   Linge de lit de coton, imprimé (autre qu'en bonneterie)</v>
      </c>
      <c r="C4470">
        <v>5626168</v>
      </c>
      <c r="D4470">
        <v>368</v>
      </c>
    </row>
    <row r="4471" spans="1:4" x14ac:dyDescent="0.25">
      <c r="A4471" t="str">
        <f>T("   630229")</f>
        <v xml:space="preserve">   630229</v>
      </c>
      <c r="B4471"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4471">
        <v>1595950</v>
      </c>
      <c r="D4471">
        <v>292</v>
      </c>
    </row>
    <row r="4472" spans="1:4" x14ac:dyDescent="0.25">
      <c r="A4472" t="str">
        <f>T("   630231")</f>
        <v xml:space="preserve">   630231</v>
      </c>
      <c r="B4472" t="str">
        <f>T("   Linge de lit de coton (autre qu'imprimé, autre qu'en bonneterie)")</f>
        <v xml:space="preserve">   Linge de lit de coton (autre qu'imprimé, autre qu'en bonneterie)</v>
      </c>
      <c r="C4472">
        <v>1497557</v>
      </c>
      <c r="D4472">
        <v>319</v>
      </c>
    </row>
    <row r="4473" spans="1:4" x14ac:dyDescent="0.25">
      <c r="A4473" t="str">
        <f>T("   630232")</f>
        <v xml:space="preserve">   630232</v>
      </c>
      <c r="B4473" t="str">
        <f>T("   Linge de lit de fibres synthétiques ou artificielles (autre qu'imprimé, autre qu'en bonneterie)")</f>
        <v xml:space="preserve">   Linge de lit de fibres synthétiques ou artificielles (autre qu'imprimé, autre qu'en bonneterie)</v>
      </c>
      <c r="C4473">
        <v>1143338</v>
      </c>
      <c r="D4473">
        <v>126</v>
      </c>
    </row>
    <row r="4474" spans="1:4" x14ac:dyDescent="0.25">
      <c r="A4474" t="str">
        <f>T("   630239")</f>
        <v xml:space="preserve">   630239</v>
      </c>
      <c r="B4474"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4474">
        <v>875707</v>
      </c>
      <c r="D4474">
        <v>270</v>
      </c>
    </row>
    <row r="4475" spans="1:4" x14ac:dyDescent="0.25">
      <c r="A4475" t="str">
        <f>T("   630251")</f>
        <v xml:space="preserve">   630251</v>
      </c>
      <c r="B4475" t="str">
        <f>T("   Linge de table de coton (autre qu'en bonneterie)")</f>
        <v xml:space="preserve">   Linge de table de coton (autre qu'en bonneterie)</v>
      </c>
      <c r="C4475">
        <v>1811762</v>
      </c>
      <c r="D4475">
        <v>2850</v>
      </c>
    </row>
    <row r="4476" spans="1:4" x14ac:dyDescent="0.25">
      <c r="A4476" t="str">
        <f>T("   630259")</f>
        <v xml:space="preserve">   630259</v>
      </c>
      <c r="B4476" t="str">
        <f>T("   LINGE DE TABLE DE MATIÈRES TEXTILES (AUTRE QUE DE COTON, FIBRES SYNTHÉTIQUES OU ARTIFICIELLES, AUTRE QU'EN BONNETERIE)")</f>
        <v xml:space="preserve">   LINGE DE TABLE DE MATIÈRES TEXTILES (AUTRE QUE DE COTON, FIBRES SYNTHÉTIQUES OU ARTIFICIELLES, AUTRE QU'EN BONNETERIE)</v>
      </c>
      <c r="C4476">
        <v>767472</v>
      </c>
      <c r="D4476">
        <v>116</v>
      </c>
    </row>
    <row r="4477" spans="1:4" x14ac:dyDescent="0.25">
      <c r="A4477" t="str">
        <f>T("   630260")</f>
        <v xml:space="preserve">   630260</v>
      </c>
      <c r="B4477"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4477">
        <v>12903363</v>
      </c>
      <c r="D4477">
        <v>3234</v>
      </c>
    </row>
    <row r="4478" spans="1:4" x14ac:dyDescent="0.25">
      <c r="A4478" t="str">
        <f>T("   630319")</f>
        <v xml:space="preserve">   630319</v>
      </c>
      <c r="B4478"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4478">
        <v>6324766</v>
      </c>
      <c r="D4478">
        <v>900</v>
      </c>
    </row>
    <row r="4479" spans="1:4" x14ac:dyDescent="0.25">
      <c r="A4479" t="str">
        <f>T("   630392")</f>
        <v xml:space="preserve">   630392</v>
      </c>
      <c r="B4479" t="str">
        <f>T("   Vitrages, rideaux et stores d'intérieur ainsi que cantonnières et tours de lit, de fibres synthétiques (autres qu'en bonneterie et autres que stores d'extérieur)")</f>
        <v xml:space="preserve">   Vitrages, rideaux et stores d'intérieur ainsi que cantonnières et tours de lit, de fibres synthétiques (autres qu'en bonneterie et autres que stores d'extérieur)</v>
      </c>
      <c r="C4479">
        <v>12191017</v>
      </c>
      <c r="D4479">
        <v>1194</v>
      </c>
    </row>
    <row r="4480" spans="1:4" x14ac:dyDescent="0.25">
      <c r="A4480" t="str">
        <f>T("   630399")</f>
        <v xml:space="preserve">   630399</v>
      </c>
      <c r="B4480"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4480">
        <v>29536569</v>
      </c>
      <c r="D4480">
        <v>3918</v>
      </c>
    </row>
    <row r="4481" spans="1:4" x14ac:dyDescent="0.25">
      <c r="A4481" t="str">
        <f>T("   630491")</f>
        <v xml:space="preserve">   630491</v>
      </c>
      <c r="B4481" t="s">
        <v>269</v>
      </c>
      <c r="C4481">
        <v>2082018</v>
      </c>
      <c r="D4481">
        <v>342</v>
      </c>
    </row>
    <row r="4482" spans="1:4" x14ac:dyDescent="0.25">
      <c r="A4482" t="str">
        <f>T("   630493")</f>
        <v xml:space="preserve">   630493</v>
      </c>
      <c r="B4482" t="s">
        <v>270</v>
      </c>
      <c r="C4482">
        <v>1347342</v>
      </c>
      <c r="D4482">
        <v>291</v>
      </c>
    </row>
    <row r="4483" spans="1:4" x14ac:dyDescent="0.25">
      <c r="A4483" t="str">
        <f>T("   630499")</f>
        <v xml:space="preserve">   630499</v>
      </c>
      <c r="B4483" t="s">
        <v>271</v>
      </c>
      <c r="C4483">
        <v>422169</v>
      </c>
      <c r="D4483">
        <v>55</v>
      </c>
    </row>
    <row r="4484" spans="1:4" x14ac:dyDescent="0.25">
      <c r="A4484" t="str">
        <f>T("   630510")</f>
        <v xml:space="preserve">   630510</v>
      </c>
      <c r="B4484" t="str">
        <f>T("   Sacs et sachets d'emballage de jute ou d'autres fibres textiles libériennes du n° 5303")</f>
        <v xml:space="preserve">   Sacs et sachets d'emballage de jute ou d'autres fibres textiles libériennes du n° 5303</v>
      </c>
      <c r="C4484">
        <v>19679</v>
      </c>
      <c r="D4484">
        <v>64</v>
      </c>
    </row>
    <row r="4485" spans="1:4" x14ac:dyDescent="0.25">
      <c r="A4485" t="str">
        <f>T("   630533")</f>
        <v xml:space="preserve">   630533</v>
      </c>
      <c r="B4485"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4485">
        <v>63748814</v>
      </c>
      <c r="D4485">
        <v>48552</v>
      </c>
    </row>
    <row r="4486" spans="1:4" x14ac:dyDescent="0.25">
      <c r="A4486" t="str">
        <f>T("   630539")</f>
        <v xml:space="preserve">   630539</v>
      </c>
      <c r="B4486"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4486">
        <v>50004</v>
      </c>
      <c r="D4486">
        <v>60</v>
      </c>
    </row>
    <row r="4487" spans="1:4" x14ac:dyDescent="0.25">
      <c r="A4487" t="str">
        <f>T("   630590")</f>
        <v xml:space="preserve">   630590</v>
      </c>
      <c r="B4487"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4487">
        <v>2002234</v>
      </c>
      <c r="D4487">
        <v>1429</v>
      </c>
    </row>
    <row r="4488" spans="1:4" x14ac:dyDescent="0.25">
      <c r="A4488" t="str">
        <f>T("   630612")</f>
        <v xml:space="preserve">   630612</v>
      </c>
      <c r="B4488"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4488">
        <v>2699276</v>
      </c>
      <c r="D4488">
        <v>61</v>
      </c>
    </row>
    <row r="4489" spans="1:4" x14ac:dyDescent="0.25">
      <c r="A4489" t="str">
        <f>T("   630619")</f>
        <v xml:space="preserve">   630619</v>
      </c>
      <c r="B4489"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4489">
        <v>5176521</v>
      </c>
      <c r="D4489">
        <v>2025</v>
      </c>
    </row>
    <row r="4490" spans="1:4" x14ac:dyDescent="0.25">
      <c r="A4490" t="str">
        <f>T("   630629")</f>
        <v xml:space="preserve">   630629</v>
      </c>
      <c r="B4490" t="str">
        <f>T("   Tentes de matières textiles (autres que de coton ou fibres synthétiques et sauf paravents)")</f>
        <v xml:space="preserve">   Tentes de matières textiles (autres que de coton ou fibres synthétiques et sauf paravents)</v>
      </c>
      <c r="C4490">
        <v>655960</v>
      </c>
      <c r="D4490">
        <v>338</v>
      </c>
    </row>
    <row r="4491" spans="1:4" x14ac:dyDescent="0.25">
      <c r="A4491" t="str">
        <f>T("   630649")</f>
        <v xml:space="preserve">   630649</v>
      </c>
      <c r="B4491" t="str">
        <f>T("   Matelas pneumatiques de matières textiles (autres que de coton)")</f>
        <v xml:space="preserve">   Matelas pneumatiques de matières textiles (autres que de coton)</v>
      </c>
      <c r="C4491">
        <v>354350</v>
      </c>
      <c r="D4491">
        <v>1456.66</v>
      </c>
    </row>
    <row r="4492" spans="1:4" x14ac:dyDescent="0.25">
      <c r="A4492" t="str">
        <f>T("   630710")</f>
        <v xml:space="preserve">   630710</v>
      </c>
      <c r="B4492" t="str">
        <f>T("   Serpillières ou wassingues, lavettes, chamoisettes et articles d'entretien simil. en tous types de matières textiles")</f>
        <v xml:space="preserve">   Serpillières ou wassingues, lavettes, chamoisettes et articles d'entretien simil. en tous types de matières textiles</v>
      </c>
      <c r="C4492">
        <v>14271034</v>
      </c>
      <c r="D4492">
        <v>9028</v>
      </c>
    </row>
    <row r="4493" spans="1:4" x14ac:dyDescent="0.25">
      <c r="A4493" t="str">
        <f>T("   630790")</f>
        <v xml:space="preserve">   630790</v>
      </c>
      <c r="B4493" t="str">
        <f>T("   Articles de matières textiles, confectionnés, y.c. les patrons de vêtements n.d.a.")</f>
        <v xml:space="preserve">   Articles de matières textiles, confectionnés, y.c. les patrons de vêtements n.d.a.</v>
      </c>
      <c r="C4493">
        <v>36181225</v>
      </c>
      <c r="D4493">
        <v>1543</v>
      </c>
    </row>
    <row r="4494" spans="1:4" x14ac:dyDescent="0.25">
      <c r="A4494" t="str">
        <f>T("   630900")</f>
        <v xml:space="preserve">   630900</v>
      </c>
      <c r="B4494" t="s">
        <v>273</v>
      </c>
      <c r="C4494">
        <v>287448770</v>
      </c>
      <c r="D4494">
        <v>607408.51</v>
      </c>
    </row>
    <row r="4495" spans="1:4" x14ac:dyDescent="0.25">
      <c r="A4495" t="str">
        <f>T("   640110")</f>
        <v xml:space="preserve">   640110</v>
      </c>
      <c r="B4495" t="s">
        <v>274</v>
      </c>
      <c r="C4495">
        <v>8356274</v>
      </c>
      <c r="D4495">
        <v>2532</v>
      </c>
    </row>
    <row r="4496" spans="1:4" x14ac:dyDescent="0.25">
      <c r="A4496" t="str">
        <f>T("   640191")</f>
        <v xml:space="preserve">   640191</v>
      </c>
      <c r="B4496" t="s">
        <v>274</v>
      </c>
      <c r="C4496">
        <v>1107340</v>
      </c>
      <c r="D4496">
        <v>440</v>
      </c>
    </row>
    <row r="4497" spans="1:4" x14ac:dyDescent="0.25">
      <c r="A4497" t="str">
        <f>T("   640199")</f>
        <v xml:space="preserve">   640199</v>
      </c>
      <c r="B4497" t="s">
        <v>274</v>
      </c>
      <c r="C4497">
        <v>3244751</v>
      </c>
      <c r="D4497">
        <v>524</v>
      </c>
    </row>
    <row r="4498" spans="1:4" x14ac:dyDescent="0.25">
      <c r="A4498" t="str">
        <f>T("   640219")</f>
        <v xml:space="preserve">   640219</v>
      </c>
      <c r="B4498" t="s">
        <v>276</v>
      </c>
      <c r="C4498">
        <v>3919630</v>
      </c>
      <c r="D4498">
        <v>166</v>
      </c>
    </row>
    <row r="4499" spans="1:4" x14ac:dyDescent="0.25">
      <c r="A4499" t="str">
        <f>T("   640230")</f>
        <v xml:space="preserve">   640230</v>
      </c>
      <c r="B4499" t="s">
        <v>277</v>
      </c>
      <c r="C4499">
        <v>800704</v>
      </c>
      <c r="D4499">
        <v>2177.52</v>
      </c>
    </row>
    <row r="4500" spans="1:4" x14ac:dyDescent="0.25">
      <c r="A4500" t="str">
        <f>T("   640299")</f>
        <v xml:space="preserve">   640299</v>
      </c>
      <c r="B4500" t="s">
        <v>278</v>
      </c>
      <c r="C4500">
        <v>23552930</v>
      </c>
      <c r="D4500">
        <v>7386</v>
      </c>
    </row>
    <row r="4501" spans="1:4" x14ac:dyDescent="0.25">
      <c r="A4501" t="str">
        <f>T("   640320")</f>
        <v xml:space="preserve">   640320</v>
      </c>
      <c r="B4501" t="str">
        <f>T("   Chaussures à semelles extérieures en cuir naturel et dessus constitués de lanières en cuir naturel passant sur le cou-de-pied et entourant le gros orteil")</f>
        <v xml:space="preserve">   Chaussures à semelles extérieures en cuir naturel et dessus constitués de lanières en cuir naturel passant sur le cou-de-pied et entourant le gros orteil</v>
      </c>
      <c r="C4501">
        <v>530000</v>
      </c>
      <c r="D4501">
        <v>349</v>
      </c>
    </row>
    <row r="4502" spans="1:4" x14ac:dyDescent="0.25">
      <c r="A4502" t="str">
        <f>T("   640340")</f>
        <v xml:space="preserve">   640340</v>
      </c>
      <c r="B4502"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4502">
        <v>33417951</v>
      </c>
      <c r="D4502">
        <v>5025</v>
      </c>
    </row>
    <row r="4503" spans="1:4" x14ac:dyDescent="0.25">
      <c r="A4503" t="str">
        <f>T("   640411")</f>
        <v xml:space="preserve">   640411</v>
      </c>
      <c r="B4503" t="str">
        <f>T("   Chaussures de sport, y.c. chaussures dites de tennis, de basket-ball, de gymnastique, d'entraînement et chaussures simil., à semelles extérieures en caoutchouc ou en matière plastique, à dessus en matières textiles")</f>
        <v xml:space="preserve">   Chaussures de sport, y.c. chaussures dites de tennis, de basket-ball, de gymnastique, d'entraînement et chaussures simil., à semelles extérieures en caoutchouc ou en matière plastique, à dessus en matières textiles</v>
      </c>
      <c r="C4503">
        <v>4631078</v>
      </c>
      <c r="D4503">
        <v>554</v>
      </c>
    </row>
    <row r="4504" spans="1:4" x14ac:dyDescent="0.25">
      <c r="A4504" t="str">
        <f>T("   640419")</f>
        <v xml:space="preserve">   640419</v>
      </c>
      <c r="B4504" t="s">
        <v>282</v>
      </c>
      <c r="C4504">
        <v>449989</v>
      </c>
      <c r="D4504">
        <v>310</v>
      </c>
    </row>
    <row r="4505" spans="1:4" x14ac:dyDescent="0.25">
      <c r="A4505" t="str">
        <f>T("   640510")</f>
        <v xml:space="preserve">   640510</v>
      </c>
      <c r="B4505" t="str">
        <f>T("   Chaussures à dessus en cuir naturel ou reconstitué (sauf à semelles extérieures en caoutchouc, matière plastique, cuir naturel ou reconstitué et à dessus en cuir naturel et sauf chaussures d'orthopédie et chaussures ayant le caractère de jouets)")</f>
        <v xml:space="preserve">   Chaussures à dessus en cuir naturel ou reconstitué (sauf à semelles extérieures en caoutchouc, matière plastique, cuir naturel ou reconstitué et à dessus en cuir naturel et sauf chaussures d'orthopédie et chaussures ayant le caractère de jouets)</v>
      </c>
      <c r="C4505">
        <v>499500</v>
      </c>
      <c r="D4505">
        <v>388</v>
      </c>
    </row>
    <row r="4506" spans="1:4" x14ac:dyDescent="0.25">
      <c r="A4506" t="str">
        <f>T("   640590")</f>
        <v xml:space="preserve">   640590</v>
      </c>
      <c r="B4506" t="s">
        <v>283</v>
      </c>
      <c r="C4506">
        <v>9570475</v>
      </c>
      <c r="D4506">
        <v>4020</v>
      </c>
    </row>
    <row r="4507" spans="1:4" x14ac:dyDescent="0.25">
      <c r="A4507" t="str">
        <f>T("   650590")</f>
        <v xml:space="preserve">   650590</v>
      </c>
      <c r="B4507" t="s">
        <v>284</v>
      </c>
      <c r="C4507">
        <v>18653078</v>
      </c>
      <c r="D4507">
        <v>3145</v>
      </c>
    </row>
    <row r="4508" spans="1:4" x14ac:dyDescent="0.25">
      <c r="A4508" t="str">
        <f>T("   650610")</f>
        <v xml:space="preserve">   650610</v>
      </c>
      <c r="B4508" t="str">
        <f>T("   Coiffures de sécurité, même garnies")</f>
        <v xml:space="preserve">   Coiffures de sécurité, même garnies</v>
      </c>
      <c r="C4508">
        <v>14990139</v>
      </c>
      <c r="D4508">
        <v>2311</v>
      </c>
    </row>
    <row r="4509" spans="1:4" x14ac:dyDescent="0.25">
      <c r="A4509" t="str">
        <f>T("   650699")</f>
        <v xml:space="preserve">   650699</v>
      </c>
      <c r="B4509" t="str">
        <f>T("   Chapeaux et autres coiffures, même garnis, n.d.a.")</f>
        <v xml:space="preserve">   Chapeaux et autres coiffures, même garnis, n.d.a.</v>
      </c>
      <c r="C4509">
        <v>85347769</v>
      </c>
      <c r="D4509">
        <v>6032</v>
      </c>
    </row>
    <row r="4510" spans="1:4" x14ac:dyDescent="0.25">
      <c r="A4510" t="str">
        <f>T("   650700")</f>
        <v xml:space="preserve">   650700</v>
      </c>
      <c r="B4510" t="str">
        <f>T("   Bandes pour garniture intérieure, coiffes, couvre-coiffures, carcasses, visières et jugulaires pour la chapellerie (sauf les bandeaux utilisés par les sportifs comme protection contre les gouttes de transpiration, en bonneterie)")</f>
        <v xml:space="preserve">   Bandes pour garniture intérieure, coiffes, couvre-coiffures, carcasses, visières et jugulaires pour la chapellerie (sauf les bandeaux utilisés par les sportifs comme protection contre les gouttes de transpiration, en bonneterie)</v>
      </c>
      <c r="C4510">
        <v>22959</v>
      </c>
      <c r="D4510">
        <v>16</v>
      </c>
    </row>
    <row r="4511" spans="1:4" x14ac:dyDescent="0.25">
      <c r="A4511" t="str">
        <f>T("   660110")</f>
        <v xml:space="preserve">   660110</v>
      </c>
      <c r="B4511" t="str">
        <f>T("   Parasols de jardin et articles simil. (sauf tentes de plage)")</f>
        <v xml:space="preserve">   Parasols de jardin et articles simil. (sauf tentes de plage)</v>
      </c>
      <c r="C4511">
        <v>572524</v>
      </c>
      <c r="D4511">
        <v>6420</v>
      </c>
    </row>
    <row r="4512" spans="1:4" x14ac:dyDescent="0.25">
      <c r="A4512" t="str">
        <f>T("   660191")</f>
        <v xml:space="preserve">   660191</v>
      </c>
      <c r="B4512" t="str">
        <f>T("   Parapluies, y.c. les parapluies-cannes et ombrelles, à mât ou à manche télescopique (sauf jouets d'enfants)")</f>
        <v xml:space="preserve">   Parapluies, y.c. les parapluies-cannes et ombrelles, à mât ou à manche télescopique (sauf jouets d'enfants)</v>
      </c>
      <c r="C4512">
        <v>8941</v>
      </c>
      <c r="D4512">
        <v>10</v>
      </c>
    </row>
    <row r="4513" spans="1:4" x14ac:dyDescent="0.25">
      <c r="A4513" t="str">
        <f>T("   660199")</f>
        <v xml:space="preserve">   660199</v>
      </c>
      <c r="B4513"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4513">
        <v>20851602</v>
      </c>
      <c r="D4513">
        <v>836</v>
      </c>
    </row>
    <row r="4514" spans="1:4" x14ac:dyDescent="0.25">
      <c r="A4514" t="str">
        <f>T("   660200")</f>
        <v xml:space="preserve">   660200</v>
      </c>
      <c r="B4514" t="str">
        <f>T("   Cannes, cannes-sièges, fouets, cravaches et articles simil. (sauf cannes-mesures, béquilles, cannes ayant le caractère d'armes et cannes de sport)")</f>
        <v xml:space="preserve">   Cannes, cannes-sièges, fouets, cravaches et articles simil. (sauf cannes-mesures, béquilles, cannes ayant le caractère d'armes et cannes de sport)</v>
      </c>
      <c r="C4514">
        <v>636937</v>
      </c>
      <c r="D4514">
        <v>60</v>
      </c>
    </row>
    <row r="4515" spans="1:4" x14ac:dyDescent="0.25">
      <c r="A4515" t="str">
        <f>T("   670210")</f>
        <v xml:space="preserve">   670210</v>
      </c>
      <c r="B4515" t="str">
        <f>T("   Fleurs, feuillages et fruits artificiels, y.c. leurs parties; articles confectionnés en fleurs, feuillages ou fruits artificiels fabriqués par ligature, collage, emboîtage ou procédés simil., en matières plastiques")</f>
        <v xml:space="preserve">   Fleurs, feuillages et fruits artificiels, y.c. leurs parties; articles confectionnés en fleurs, feuillages ou fruits artificiels fabriqués par ligature, collage, emboîtage ou procédés simil., en matières plastiques</v>
      </c>
      <c r="C4515">
        <v>8637026</v>
      </c>
      <c r="D4515">
        <v>2172</v>
      </c>
    </row>
    <row r="4516" spans="1:4" x14ac:dyDescent="0.25">
      <c r="A4516" t="str">
        <f>T("   670290")</f>
        <v xml:space="preserve">   670290</v>
      </c>
      <c r="B4516"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4516">
        <v>19106806</v>
      </c>
      <c r="D4516">
        <v>2970</v>
      </c>
    </row>
    <row r="4517" spans="1:4" x14ac:dyDescent="0.25">
      <c r="A4517" t="str">
        <f>T("   670419")</f>
        <v xml:space="preserve">   670419</v>
      </c>
      <c r="B4517" t="str">
        <f>T("   Barbes, sourcils, cils, mèches et articles simil., en matières textiles synthétiques (sauf perruques complètes)")</f>
        <v xml:space="preserve">   Barbes, sourcils, cils, mèches et articles simil., en matières textiles synthétiques (sauf perruques complètes)</v>
      </c>
      <c r="C4517">
        <v>676951</v>
      </c>
      <c r="D4517">
        <v>980</v>
      </c>
    </row>
    <row r="4518" spans="1:4" x14ac:dyDescent="0.25">
      <c r="A4518" t="str">
        <f>T("   680210")</f>
        <v xml:space="preserve">   680210</v>
      </c>
      <c r="B4518" t="s">
        <v>286</v>
      </c>
      <c r="C4518">
        <v>14948068</v>
      </c>
      <c r="D4518">
        <v>77708</v>
      </c>
    </row>
    <row r="4519" spans="1:4" x14ac:dyDescent="0.25">
      <c r="A4519" t="str">
        <f>T("   680221")</f>
        <v xml:space="preserve">   680221</v>
      </c>
      <c r="B4519" t="s">
        <v>287</v>
      </c>
      <c r="C4519">
        <v>400431</v>
      </c>
      <c r="D4519">
        <v>550</v>
      </c>
    </row>
    <row r="4520" spans="1:4" x14ac:dyDescent="0.25">
      <c r="A4520" t="str">
        <f>T("   680293")</f>
        <v xml:space="preserve">   680293</v>
      </c>
      <c r="B4520" t="str">
        <f>T("   GRANIT DE N'IMPORTE QUELLE FORME, POLI, DÉCORÉ OU AUTREMENT TRAVAILLÉ (SAUF OUVRAGES DU 6802.10; BIJOUX DE FANTAISIE; PENDULES ET ARTICLES D'HORLOGERIE, APPAREILS D'ÉCLAIRAGE ET LEURS PARTIES; OBJETS D'ART ORIGINAUX SCULPTÉS)")</f>
        <v xml:space="preserve">   GRANIT DE N'IMPORTE QUELLE FORME, POLI, DÉCORÉ OU AUTREMENT TRAVAILLÉ (SAUF OUVRAGES DU 6802.10; BIJOUX DE FANTAISIE; PENDULES ET ARTICLES D'HORLOGERIE, APPAREILS D'ÉCLAIRAGE ET LEURS PARTIES; OBJETS D'ART ORIGINAUX SCULPTÉS)</v>
      </c>
      <c r="C4520">
        <v>1293999</v>
      </c>
      <c r="D4520">
        <v>257</v>
      </c>
    </row>
    <row r="4521" spans="1:4" x14ac:dyDescent="0.25">
      <c r="A4521" t="str">
        <f>T("   680410")</f>
        <v xml:space="preserve">   680410</v>
      </c>
      <c r="B4521" t="str">
        <f>T("   Meules à moudre ou à défibrer (sans bâtis), en pierres naturelles, en abrasifs naturels ou artificiels agglomérés ou en céramique")</f>
        <v xml:space="preserve">   Meules à moudre ou à défibrer (sans bâtis), en pierres naturelles, en abrasifs naturels ou artificiels agglomérés ou en céramique</v>
      </c>
      <c r="C4521">
        <v>4411331</v>
      </c>
      <c r="D4521">
        <v>11097</v>
      </c>
    </row>
    <row r="4522" spans="1:4" x14ac:dyDescent="0.25">
      <c r="A4522" t="str">
        <f>T("   680421")</f>
        <v xml:space="preserve">   680421</v>
      </c>
      <c r="B4522" t="s">
        <v>291</v>
      </c>
      <c r="C4522">
        <v>1961301</v>
      </c>
      <c r="D4522">
        <v>428.9</v>
      </c>
    </row>
    <row r="4523" spans="1:4" x14ac:dyDescent="0.25">
      <c r="A4523" t="str">
        <f>T("   680422")</f>
        <v xml:space="preserve">   680422</v>
      </c>
      <c r="B4523" t="s">
        <v>292</v>
      </c>
      <c r="C4523">
        <v>9871431</v>
      </c>
      <c r="D4523">
        <v>3128</v>
      </c>
    </row>
    <row r="4524" spans="1:4" x14ac:dyDescent="0.25">
      <c r="A4524" t="str">
        <f>T("   680430")</f>
        <v xml:space="preserve">   680430</v>
      </c>
      <c r="B4524" t="str">
        <f>T("   Pierres à aiguiser ou à polir à la main")</f>
        <v xml:space="preserve">   Pierres à aiguiser ou à polir à la main</v>
      </c>
      <c r="C4524">
        <v>898666</v>
      </c>
      <c r="D4524">
        <v>1398</v>
      </c>
    </row>
    <row r="4525" spans="1:4" x14ac:dyDescent="0.25">
      <c r="A4525" t="str">
        <f>T("   680520")</f>
        <v xml:space="preserve">   680520</v>
      </c>
      <c r="B4525"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4525">
        <v>4261151</v>
      </c>
      <c r="D4525">
        <v>7143</v>
      </c>
    </row>
    <row r="4526" spans="1:4" x14ac:dyDescent="0.25">
      <c r="A4526" t="str">
        <f>T("   680530")</f>
        <v xml:space="preserve">   680530</v>
      </c>
      <c r="B4526" t="str">
        <f>T("   Abrasifs naturels ou artificiels en poudre ou en grains, appliqués sur un autre fond que des matières textiles seulement ou que du papier ou du carton seulement, même découpés, cousus ou autrement assemblés")</f>
        <v xml:space="preserve">   Abrasifs naturels ou artificiels en poudre ou en grains, appliqués sur un autre fond que des matières textiles seulement ou que du papier ou du carton seulement, même découpés, cousus ou autrement assemblés</v>
      </c>
      <c r="C4526">
        <v>5012190</v>
      </c>
      <c r="D4526">
        <v>1315</v>
      </c>
    </row>
    <row r="4527" spans="1:4" x14ac:dyDescent="0.25">
      <c r="A4527" t="str">
        <f>T("   680610")</f>
        <v xml:space="preserve">   680610</v>
      </c>
      <c r="B4527" t="str">
        <f>T("   Laines de laitier, de scories, de roche et laines minérales simil., même mélangées entre elles, en masses, feuilles ou rouleaux")</f>
        <v xml:space="preserve">   Laines de laitier, de scories, de roche et laines minérales simil., même mélangées entre elles, en masses, feuilles ou rouleaux</v>
      </c>
      <c r="C4527">
        <v>1453608</v>
      </c>
      <c r="D4527">
        <v>127</v>
      </c>
    </row>
    <row r="4528" spans="1:4" x14ac:dyDescent="0.25">
      <c r="A4528" t="str">
        <f>T("   680620")</f>
        <v xml:space="preserve">   680620</v>
      </c>
      <c r="B4528" t="str">
        <f>T("   Vermiculite expansée, argiles expansées, mousse de scories et produits minéraux simil. expansés, même mélangés entre eux")</f>
        <v xml:space="preserve">   Vermiculite expansée, argiles expansées, mousse de scories et produits minéraux simil. expansés, même mélangés entre eux</v>
      </c>
      <c r="C4528">
        <v>249921</v>
      </c>
      <c r="D4528">
        <v>126</v>
      </c>
    </row>
    <row r="4529" spans="1:4" x14ac:dyDescent="0.25">
      <c r="A4529" t="str">
        <f>T("   680690")</f>
        <v xml:space="preserve">   680690</v>
      </c>
      <c r="B4529" t="s">
        <v>294</v>
      </c>
      <c r="C4529">
        <v>18318995</v>
      </c>
      <c r="D4529">
        <v>18200</v>
      </c>
    </row>
    <row r="4530" spans="1:4" x14ac:dyDescent="0.25">
      <c r="A4530" t="str">
        <f>T("   680710")</f>
        <v xml:space="preserve">   680710</v>
      </c>
      <c r="B4530" t="str">
        <f>T("   Ouvrages en asphalte ou en produits simil., p.ex. poix de pétrole, brais, en rouleaux")</f>
        <v xml:space="preserve">   Ouvrages en asphalte ou en produits simil., p.ex. poix de pétrole, brais, en rouleaux</v>
      </c>
      <c r="C4530">
        <v>120681389</v>
      </c>
      <c r="D4530">
        <v>277688</v>
      </c>
    </row>
    <row r="4531" spans="1:4" x14ac:dyDescent="0.25">
      <c r="A4531" t="str">
        <f>T("   680790")</f>
        <v xml:space="preserve">   680790</v>
      </c>
      <c r="B4531" t="str">
        <f>T("   Ouvrages en asphalte ou en produits simil., p.ex. poix de pétrole, brais (autres qu'en rouleaux)")</f>
        <v xml:space="preserve">   Ouvrages en asphalte ou en produits simil., p.ex. poix de pétrole, brais (autres qu'en rouleaux)</v>
      </c>
      <c r="C4531">
        <v>13250302</v>
      </c>
      <c r="D4531">
        <v>37559</v>
      </c>
    </row>
    <row r="4532" spans="1:4" x14ac:dyDescent="0.25">
      <c r="A4532" t="str">
        <f>T("   680919")</f>
        <v xml:space="preserve">   680919</v>
      </c>
      <c r="B4532" t="s">
        <v>297</v>
      </c>
      <c r="C4532">
        <v>894729</v>
      </c>
      <c r="D4532">
        <v>5341</v>
      </c>
    </row>
    <row r="4533" spans="1:4" x14ac:dyDescent="0.25">
      <c r="A4533" t="str">
        <f>T("   681011")</f>
        <v xml:space="preserve">   681011</v>
      </c>
      <c r="B4533" t="str">
        <f>T("   Blocs et briques pour la construction, en ciment, en béton ou en pierre artificielle, même armés")</f>
        <v xml:space="preserve">   Blocs et briques pour la construction, en ciment, en béton ou en pierre artificielle, même armés</v>
      </c>
      <c r="C4533">
        <v>2582515</v>
      </c>
      <c r="D4533">
        <v>46000</v>
      </c>
    </row>
    <row r="4534" spans="1:4" x14ac:dyDescent="0.25">
      <c r="A4534" t="str">
        <f>T("   681019")</f>
        <v xml:space="preserve">   681019</v>
      </c>
      <c r="B4534"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4534">
        <v>9428770</v>
      </c>
      <c r="D4534">
        <v>135000</v>
      </c>
    </row>
    <row r="4535" spans="1:4" x14ac:dyDescent="0.25">
      <c r="A4535" t="str">
        <f>T("   681091")</f>
        <v xml:space="preserve">   681091</v>
      </c>
      <c r="B4535" t="str">
        <f>T("   ÉLÉMENTS PRÉFABRIQUÉS POUR LE BÂTIMENT OU LE GÉNIE CIVIL, EN CIMENT, EN BÉTON OU EN PIERRE ARTIFICIELLE, MÊME ARMÉS")</f>
        <v xml:space="preserve">   ÉLÉMENTS PRÉFABRIQUÉS POUR LE BÂTIMENT OU LE GÉNIE CIVIL, EN CIMENT, EN BÉTON OU EN PIERRE ARTIFICIELLE, MÊME ARMÉS</v>
      </c>
      <c r="C4535">
        <v>701569</v>
      </c>
      <c r="D4535">
        <v>207.99</v>
      </c>
    </row>
    <row r="4536" spans="1:4" x14ac:dyDescent="0.25">
      <c r="A4536" t="str">
        <f>T("   681110")</f>
        <v xml:space="preserve">   681110</v>
      </c>
      <c r="B4536" t="str">
        <f>T("   Plaques ondulées en amiante-ciment, cellulose-ciment ou simil.")</f>
        <v xml:space="preserve">   Plaques ondulées en amiante-ciment, cellulose-ciment ou simil.</v>
      </c>
      <c r="C4536">
        <v>5474643</v>
      </c>
      <c r="D4536">
        <v>80000</v>
      </c>
    </row>
    <row r="4537" spans="1:4" x14ac:dyDescent="0.25">
      <c r="A4537" t="str">
        <f>T("   681130")</f>
        <v xml:space="preserve">   681130</v>
      </c>
      <c r="B4537" t="str">
        <f>T("   Tuyaux, gaines et accessoires de tuyauterie, en amiante-ciment, cellulose-ciment ou simil.")</f>
        <v xml:space="preserve">   Tuyaux, gaines et accessoires de tuyauterie, en amiante-ciment, cellulose-ciment ou simil.</v>
      </c>
      <c r="C4537">
        <v>98000</v>
      </c>
      <c r="D4537">
        <v>150</v>
      </c>
    </row>
    <row r="4538" spans="1:4" x14ac:dyDescent="0.25">
      <c r="A4538" t="str">
        <f>T("   681390")</f>
        <v xml:space="preserve">   681390</v>
      </c>
      <c r="B4538" t="s">
        <v>300</v>
      </c>
      <c r="C4538">
        <v>116105</v>
      </c>
      <c r="D4538">
        <v>4</v>
      </c>
    </row>
    <row r="4539" spans="1:4" x14ac:dyDescent="0.25">
      <c r="A4539" t="str">
        <f>T("   690510")</f>
        <v xml:space="preserve">   690510</v>
      </c>
      <c r="B4539" t="str">
        <f>T("   Tuiles")</f>
        <v xml:space="preserve">   Tuiles</v>
      </c>
      <c r="C4539">
        <v>29006422</v>
      </c>
      <c r="D4539">
        <v>269352</v>
      </c>
    </row>
    <row r="4540" spans="1:4" x14ac:dyDescent="0.25">
      <c r="A4540" t="str">
        <f>T("   690590")</f>
        <v xml:space="preserve">   690590</v>
      </c>
      <c r="B4540" t="s">
        <v>304</v>
      </c>
      <c r="C4540">
        <v>145623</v>
      </c>
      <c r="D4540">
        <v>1491</v>
      </c>
    </row>
    <row r="4541" spans="1:4" x14ac:dyDescent="0.25">
      <c r="A4541" t="str">
        <f>T("   690710")</f>
        <v xml:space="preserve">   690710</v>
      </c>
      <c r="B4541" t="str">
        <f>T("   Carreaux, cubes, dés et articles simil., en céramique, pour mosaïques, non vernissés ni émaillés, même de forme autre que carrée ou rectangulaire, dont la plus grande surface peut être inscrite dans un carré de côté &lt; 7 cm, même sur support")</f>
        <v xml:space="preserve">   Carreaux, cubes, dés et articles simil., en céramique, pour mosaïques, non vernissés ni émaillés, même de forme autre que carrée ou rectangulaire, dont la plus grande surface peut être inscrite dans un carré de côté &lt; 7 cm, même sur support</v>
      </c>
      <c r="C4541">
        <v>6287114</v>
      </c>
      <c r="D4541">
        <v>49113</v>
      </c>
    </row>
    <row r="4542" spans="1:4" x14ac:dyDescent="0.25">
      <c r="A4542" t="str">
        <f>T("   690790")</f>
        <v xml:space="preserve">   690790</v>
      </c>
      <c r="B4542" t="s">
        <v>306</v>
      </c>
      <c r="C4542">
        <v>27713758</v>
      </c>
      <c r="D4542">
        <v>181185</v>
      </c>
    </row>
    <row r="4543" spans="1:4" x14ac:dyDescent="0.25">
      <c r="A4543" t="str">
        <f>T("   690890")</f>
        <v xml:space="preserve">   690890</v>
      </c>
      <c r="B4543" t="s">
        <v>307</v>
      </c>
      <c r="C4543">
        <v>446387679</v>
      </c>
      <c r="D4543">
        <v>4283105.5</v>
      </c>
    </row>
    <row r="4544" spans="1:4" x14ac:dyDescent="0.25">
      <c r="A4544" t="str">
        <f>T("   690990")</f>
        <v xml:space="preserve">   690990</v>
      </c>
      <c r="B4544" t="str">
        <f>T("   Auges, bacs et récipients simil. en céramique, pour l'économie rurale; cruchons et récipients simil. de transport ou d'emballage en céramique (sauf éprouvettes graduées polyvalentes pour laboratoires, cruches et jarres de magasin et articles de ménage)")</f>
        <v xml:space="preserve">   Auges, bacs et récipients simil. en céramique, pour l'économie rurale; cruchons et récipients simil. de transport ou d'emballage en céramique (sauf éprouvettes graduées polyvalentes pour laboratoires, cruches et jarres de magasin et articles de ménage)</v>
      </c>
      <c r="C4544">
        <v>346347</v>
      </c>
      <c r="D4544">
        <v>250</v>
      </c>
    </row>
    <row r="4545" spans="1:4" x14ac:dyDescent="0.25">
      <c r="A4545" t="str">
        <f>T("   691010")</f>
        <v xml:space="preserve">   691010</v>
      </c>
      <c r="B4545" t="s">
        <v>309</v>
      </c>
      <c r="C4545">
        <v>12837799</v>
      </c>
      <c r="D4545">
        <v>30389</v>
      </c>
    </row>
    <row r="4546" spans="1:4" x14ac:dyDescent="0.25">
      <c r="A4546" t="str">
        <f>T("   691090")</f>
        <v xml:space="preserve">   691090</v>
      </c>
      <c r="B4546" t="s">
        <v>310</v>
      </c>
      <c r="C4546">
        <v>76216069</v>
      </c>
      <c r="D4546">
        <v>223130.96</v>
      </c>
    </row>
    <row r="4547" spans="1:4" x14ac:dyDescent="0.25">
      <c r="A4547" t="str">
        <f>T("   691110")</f>
        <v xml:space="preserve">   691110</v>
      </c>
      <c r="B4547" t="s">
        <v>311</v>
      </c>
      <c r="C4547">
        <v>58333015</v>
      </c>
      <c r="D4547">
        <v>18749</v>
      </c>
    </row>
    <row r="4548" spans="1:4" x14ac:dyDescent="0.25">
      <c r="A4548" t="str">
        <f>T("   691190")</f>
        <v xml:space="preserve">   691190</v>
      </c>
      <c r="B4548" t="s">
        <v>312</v>
      </c>
      <c r="C4548">
        <v>2415436</v>
      </c>
      <c r="D4548">
        <v>2149.67</v>
      </c>
    </row>
    <row r="4549" spans="1:4" x14ac:dyDescent="0.25">
      <c r="A4549" t="str">
        <f>T("   691200")</f>
        <v xml:space="preserve">   691200</v>
      </c>
      <c r="B4549" t="s">
        <v>313</v>
      </c>
      <c r="C4549">
        <v>36615020</v>
      </c>
      <c r="D4549">
        <v>13552</v>
      </c>
    </row>
    <row r="4550" spans="1:4" x14ac:dyDescent="0.25">
      <c r="A4550" t="str">
        <f>T("   691390")</f>
        <v xml:space="preserve">   691390</v>
      </c>
      <c r="B4550" t="str">
        <f>T("   Statuettes et autres objets d'ornementation en céramique autres que la porcelaine n.d.a.")</f>
        <v xml:space="preserve">   Statuettes et autres objets d'ornementation en céramique autres que la porcelaine n.d.a.</v>
      </c>
      <c r="C4550">
        <v>4762271</v>
      </c>
      <c r="D4550">
        <v>2409</v>
      </c>
    </row>
    <row r="4551" spans="1:4" x14ac:dyDescent="0.25">
      <c r="A4551" t="str">
        <f>T("   691410")</f>
        <v xml:space="preserve">   691410</v>
      </c>
      <c r="B4551" t="str">
        <f>T("   Ouvrages en porcelaine n.d.a.")</f>
        <v xml:space="preserve">   Ouvrages en porcelaine n.d.a.</v>
      </c>
      <c r="C4551">
        <v>1616942</v>
      </c>
      <c r="D4551">
        <v>13405</v>
      </c>
    </row>
    <row r="4552" spans="1:4" x14ac:dyDescent="0.25">
      <c r="A4552" t="str">
        <f>T("   691490")</f>
        <v xml:space="preserve">   691490</v>
      </c>
      <c r="B4552" t="str">
        <f>T("   Ouvrages en céramique autres que la porcelaine n.d.a.")</f>
        <v xml:space="preserve">   Ouvrages en céramique autres que la porcelaine n.d.a.</v>
      </c>
      <c r="C4552">
        <v>6043361</v>
      </c>
      <c r="D4552">
        <v>35047</v>
      </c>
    </row>
    <row r="4553" spans="1:4" x14ac:dyDescent="0.25">
      <c r="A4553" t="str">
        <f>T("   700232")</f>
        <v xml:space="preserve">   700232</v>
      </c>
      <c r="B4553" t="str">
        <f>T("   Tubes en verre d'un coefficient de dilatation linéaire &lt;= 5 x 10-6 par kelvin entre 0°C et 300°C non travaillé")</f>
        <v xml:space="preserve">   Tubes en verre d'un coefficient de dilatation linéaire &lt;= 5 x 10-6 par kelvin entre 0°C et 300°C non travaillé</v>
      </c>
      <c r="C4553">
        <v>127913</v>
      </c>
      <c r="D4553">
        <v>10</v>
      </c>
    </row>
    <row r="4554" spans="1:4" x14ac:dyDescent="0.25">
      <c r="A4554" t="str">
        <f>T("   700319")</f>
        <v xml:space="preserve">   700319</v>
      </c>
      <c r="B4554" t="str">
        <f>T("   PLAQUES ET FEUILLES EN VERRE DIT 'COULÉ', MAIS NON AUTREMENT TRAVAILLÉ (AUTRES QUE COLORÉES DANS LA MASSE, OPACIFIÉES, PLAQUÉES [DOUBLÉES], OU À COUCHE RÉFLÉCHISSANTE OU NON-RÉFLÉCHISSANTE ET SAUF EN VERRE ARMÉ)")</f>
        <v xml:space="preserve">   PLAQUES ET FEUILLES EN VERRE DIT 'COULÉ', MAIS NON AUTREMENT TRAVAILLÉ (AUTRES QUE COLORÉES DANS LA MASSE, OPACIFIÉES, PLAQUÉES [DOUBLÉES], OU À COUCHE RÉFLÉCHISSANTE OU NON-RÉFLÉCHISSANTE ET SAUF EN VERRE ARMÉ)</v>
      </c>
      <c r="C4554">
        <v>3332277</v>
      </c>
      <c r="D4554">
        <v>526</v>
      </c>
    </row>
    <row r="4555" spans="1:4" x14ac:dyDescent="0.25">
      <c r="A4555" t="str">
        <f>T("   700490")</f>
        <v xml:space="preserve">   700490</v>
      </c>
      <c r="B4555"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4555">
        <v>549039</v>
      </c>
      <c r="D4555">
        <v>75</v>
      </c>
    </row>
    <row r="4556" spans="1:4" x14ac:dyDescent="0.25">
      <c r="A4556" t="str">
        <f>T("   700510")</f>
        <v xml:space="preserve">   700510</v>
      </c>
      <c r="B4556"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4556">
        <v>16650541</v>
      </c>
      <c r="D4556">
        <v>49500</v>
      </c>
    </row>
    <row r="4557" spans="1:4" x14ac:dyDescent="0.25">
      <c r="A4557" t="str">
        <f>T("   700529")</f>
        <v xml:space="preserve">   700529</v>
      </c>
      <c r="B4557" t="s">
        <v>315</v>
      </c>
      <c r="C4557">
        <v>32076259</v>
      </c>
      <c r="D4557">
        <v>210910</v>
      </c>
    </row>
    <row r="4558" spans="1:4" x14ac:dyDescent="0.25">
      <c r="A4558" t="str">
        <f>T("   700711")</f>
        <v xml:space="preserve">   700711</v>
      </c>
      <c r="B4558"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4558">
        <v>9311265</v>
      </c>
      <c r="D4558">
        <v>1208</v>
      </c>
    </row>
    <row r="4559" spans="1:4" x14ac:dyDescent="0.25">
      <c r="A4559" t="str">
        <f>T("   700719")</f>
        <v xml:space="preserve">   700719</v>
      </c>
      <c r="B4559" t="s">
        <v>317</v>
      </c>
      <c r="C4559">
        <v>698236</v>
      </c>
      <c r="D4559">
        <v>98</v>
      </c>
    </row>
    <row r="4560" spans="1:4" x14ac:dyDescent="0.25">
      <c r="A4560" t="str">
        <f>T("   700721")</f>
        <v xml:space="preserve">   700721</v>
      </c>
      <c r="B4560" t="s">
        <v>318</v>
      </c>
      <c r="C4560">
        <v>4303755</v>
      </c>
      <c r="D4560">
        <v>435</v>
      </c>
    </row>
    <row r="4561" spans="1:4" x14ac:dyDescent="0.25">
      <c r="A4561" t="str">
        <f>T("   700729")</f>
        <v xml:space="preserve">   700729</v>
      </c>
      <c r="B4561" t="s">
        <v>319</v>
      </c>
      <c r="C4561">
        <v>897029</v>
      </c>
      <c r="D4561">
        <v>158</v>
      </c>
    </row>
    <row r="4562" spans="1:4" x14ac:dyDescent="0.25">
      <c r="A4562" t="str">
        <f>T("   700910")</f>
        <v xml:space="preserve">   700910</v>
      </c>
      <c r="B4562" t="str">
        <f>T("   Miroirs rétroviseurs en verre, même encadrés, pour véhicules")</f>
        <v xml:space="preserve">   Miroirs rétroviseurs en verre, même encadrés, pour véhicules</v>
      </c>
      <c r="C4562">
        <v>193508</v>
      </c>
      <c r="D4562">
        <v>12</v>
      </c>
    </row>
    <row r="4563" spans="1:4" x14ac:dyDescent="0.25">
      <c r="A4563" t="str">
        <f>T("   700991")</f>
        <v xml:space="preserve">   700991</v>
      </c>
      <c r="B4563"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4563">
        <v>3999388</v>
      </c>
      <c r="D4563">
        <v>250</v>
      </c>
    </row>
    <row r="4564" spans="1:4" x14ac:dyDescent="0.25">
      <c r="A4564" t="str">
        <f>T("   700992")</f>
        <v xml:space="preserve">   700992</v>
      </c>
      <c r="B4564" t="str">
        <f>T("   Miroirs, en verre encadrés (sauf miroirs rétroviseurs pour véhicules)")</f>
        <v xml:space="preserve">   Miroirs, en verre encadrés (sauf miroirs rétroviseurs pour véhicules)</v>
      </c>
      <c r="C4564">
        <v>3806536</v>
      </c>
      <c r="D4564">
        <v>326</v>
      </c>
    </row>
    <row r="4565" spans="1:4" x14ac:dyDescent="0.25">
      <c r="A4565" t="str">
        <f>T("   701090")</f>
        <v xml:space="preserve">   701090</v>
      </c>
      <c r="B4565" t="s">
        <v>320</v>
      </c>
      <c r="C4565">
        <v>289809757</v>
      </c>
      <c r="D4565">
        <v>749803</v>
      </c>
    </row>
    <row r="4566" spans="1:4" x14ac:dyDescent="0.25">
      <c r="A4566" t="str">
        <f>T("   701110")</f>
        <v xml:space="preserve">   701110</v>
      </c>
      <c r="B4566" t="str">
        <f>T("   Ampoules en verre, ouvertes, et enveloppes tubulaires en verre, ouvertes, et leurs parties en verre, sans garnitures, pour l'éclairage électrique")</f>
        <v xml:space="preserve">   Ampoules en verre, ouvertes, et enveloppes tubulaires en verre, ouvertes, et leurs parties en verre, sans garnitures, pour l'éclairage électrique</v>
      </c>
      <c r="C4566">
        <v>1582484</v>
      </c>
      <c r="D4566">
        <v>2937</v>
      </c>
    </row>
    <row r="4567" spans="1:4" x14ac:dyDescent="0.25">
      <c r="A4567" t="str">
        <f>T("   701190")</f>
        <v xml:space="preserve">   701190</v>
      </c>
      <c r="B4567"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4567">
        <v>896697</v>
      </c>
      <c r="D4567">
        <v>293</v>
      </c>
    </row>
    <row r="4568" spans="1:4" x14ac:dyDescent="0.25">
      <c r="A4568" t="str">
        <f>T("   701310")</f>
        <v xml:space="preserve">   701310</v>
      </c>
      <c r="B4568" t="s">
        <v>322</v>
      </c>
      <c r="C4568">
        <v>50000</v>
      </c>
      <c r="D4568">
        <v>200</v>
      </c>
    </row>
    <row r="4569" spans="1:4" x14ac:dyDescent="0.25">
      <c r="A4569" t="str">
        <f>T("   701329")</f>
        <v xml:space="preserve">   701329</v>
      </c>
      <c r="B4569" t="str">
        <f>T("   Verres à boire (autres qu'en vitrocérame, autres qu'en cristal au plomb)")</f>
        <v xml:space="preserve">   Verres à boire (autres qu'en vitrocérame, autres qu'en cristal au plomb)</v>
      </c>
      <c r="C4569">
        <v>42748404</v>
      </c>
      <c r="D4569">
        <v>41543</v>
      </c>
    </row>
    <row r="4570" spans="1:4" x14ac:dyDescent="0.25">
      <c r="A4570" t="str">
        <f>T("   701339")</f>
        <v xml:space="preserve">   701339</v>
      </c>
      <c r="B4570" t="s">
        <v>324</v>
      </c>
      <c r="C4570">
        <v>38336006</v>
      </c>
      <c r="D4570">
        <v>67058</v>
      </c>
    </row>
    <row r="4571" spans="1:4" x14ac:dyDescent="0.25">
      <c r="A4571" t="str">
        <f>T("   701399")</f>
        <v xml:space="preserve">   701399</v>
      </c>
      <c r="B4571" t="s">
        <v>326</v>
      </c>
      <c r="C4571">
        <v>11052277</v>
      </c>
      <c r="D4571">
        <v>1482.15</v>
      </c>
    </row>
    <row r="4572" spans="1:4" x14ac:dyDescent="0.25">
      <c r="A4572" t="str">
        <f>T("   701400")</f>
        <v xml:space="preserve">   701400</v>
      </c>
      <c r="B4572" t="s">
        <v>327</v>
      </c>
      <c r="C4572">
        <v>53133</v>
      </c>
      <c r="D4572">
        <v>2</v>
      </c>
    </row>
    <row r="4573" spans="1:4" x14ac:dyDescent="0.25">
      <c r="A4573" t="str">
        <f>T("   701610")</f>
        <v xml:space="preserve">   701610</v>
      </c>
      <c r="B4573" t="str">
        <f>T("   Cubes, dés et autre verrerie même sur support, pour mosaïques ou décorations simil. (sauf panneaux et autres motifs décoratifs prêts à l'emploi en cubes de verre, pour mosaïques)")</f>
        <v xml:space="preserve">   Cubes, dés et autre verrerie même sur support, pour mosaïques ou décorations simil. (sauf panneaux et autres motifs décoratifs prêts à l'emploi en cubes de verre, pour mosaïques)</v>
      </c>
      <c r="C4573">
        <v>1285000</v>
      </c>
      <c r="D4573">
        <v>4006</v>
      </c>
    </row>
    <row r="4574" spans="1:4" x14ac:dyDescent="0.25">
      <c r="A4574" t="str">
        <f>T("   701690")</f>
        <v xml:space="preserve">   701690</v>
      </c>
      <c r="B4574" t="s">
        <v>328</v>
      </c>
      <c r="C4574">
        <v>5237987</v>
      </c>
      <c r="D4574">
        <v>21000</v>
      </c>
    </row>
    <row r="4575" spans="1:4" x14ac:dyDescent="0.25">
      <c r="A4575" t="str">
        <f>T("   701710")</f>
        <v xml:space="preserve">   701710</v>
      </c>
      <c r="B4575" t="s">
        <v>329</v>
      </c>
      <c r="C4575">
        <v>621634</v>
      </c>
      <c r="D4575">
        <v>87</v>
      </c>
    </row>
    <row r="4576" spans="1:4" x14ac:dyDescent="0.25">
      <c r="A4576" t="str">
        <f>T("   701720")</f>
        <v xml:space="preserve">   701720</v>
      </c>
      <c r="B4576" t="s">
        <v>330</v>
      </c>
      <c r="C4576">
        <v>4175677</v>
      </c>
      <c r="D4576">
        <v>470</v>
      </c>
    </row>
    <row r="4577" spans="1:4" x14ac:dyDescent="0.25">
      <c r="A4577" t="str">
        <f>T("   701790")</f>
        <v xml:space="preserve">   701790</v>
      </c>
      <c r="B4577" t="s">
        <v>331</v>
      </c>
      <c r="C4577">
        <v>6854958</v>
      </c>
      <c r="D4577">
        <v>604</v>
      </c>
    </row>
    <row r="4578" spans="1:4" x14ac:dyDescent="0.25">
      <c r="A4578" t="str">
        <f>T("   701810")</f>
        <v xml:space="preserve">   701810</v>
      </c>
      <c r="B4578" t="s">
        <v>332</v>
      </c>
      <c r="C4578">
        <v>430638</v>
      </c>
      <c r="D4578">
        <v>50</v>
      </c>
    </row>
    <row r="4579" spans="1:4" x14ac:dyDescent="0.25">
      <c r="A4579" t="str">
        <f>T("   701931")</f>
        <v xml:space="preserve">   701931</v>
      </c>
      <c r="B4579" t="str">
        <f>T("   Mats de fibres de verre en couches irrégulières")</f>
        <v xml:space="preserve">   Mats de fibres de verre en couches irrégulières</v>
      </c>
      <c r="C4579">
        <v>20944691</v>
      </c>
      <c r="D4579">
        <v>24200</v>
      </c>
    </row>
    <row r="4580" spans="1:4" x14ac:dyDescent="0.25">
      <c r="A4580" t="str">
        <f>T("   701990")</f>
        <v xml:space="preserve">   701990</v>
      </c>
      <c r="B4580" t="s">
        <v>333</v>
      </c>
      <c r="C4580">
        <v>3922471</v>
      </c>
      <c r="D4580">
        <v>2129</v>
      </c>
    </row>
    <row r="4581" spans="1:4" x14ac:dyDescent="0.25">
      <c r="A4581" t="str">
        <f>T("   702000")</f>
        <v xml:space="preserve">   702000</v>
      </c>
      <c r="B4581" t="str">
        <f>T("   Ouvrages en verre n.d.a.")</f>
        <v xml:space="preserve">   Ouvrages en verre n.d.a.</v>
      </c>
      <c r="C4581">
        <v>2576611</v>
      </c>
      <c r="D4581">
        <v>3000</v>
      </c>
    </row>
    <row r="4582" spans="1:4" x14ac:dyDescent="0.25">
      <c r="A4582" t="str">
        <f>T("   711319")</f>
        <v xml:space="preserve">   711319</v>
      </c>
      <c r="B4582" t="str">
        <f>T("   Articles de bijouterie ou de joaillerie et leurs parties, en métaux précieux autres que l'argent, même revêtus, plaqués ou doublés de métaux précieux (sauf &gt; 100 ans)")</f>
        <v xml:space="preserve">   Articles de bijouterie ou de joaillerie et leurs parties, en métaux précieux autres que l'argent, même revêtus, plaqués ou doublés de métaux précieux (sauf &gt; 100 ans)</v>
      </c>
      <c r="C4582">
        <v>1194503</v>
      </c>
      <c r="D4582">
        <v>1</v>
      </c>
    </row>
    <row r="4583" spans="1:4" x14ac:dyDescent="0.25">
      <c r="A4583" t="str">
        <f>T("   711419")</f>
        <v xml:space="preserve">   711419</v>
      </c>
      <c r="B4583" t="s">
        <v>334</v>
      </c>
      <c r="C4583">
        <v>655114</v>
      </c>
      <c r="D4583">
        <v>300</v>
      </c>
    </row>
    <row r="4584" spans="1:4" x14ac:dyDescent="0.25">
      <c r="A4584" t="str">
        <f>T("   711790")</f>
        <v xml:space="preserve">   711790</v>
      </c>
      <c r="B4584" t="str">
        <f>T("   Bijouterie de fantaisie (autre qu'en métaux communs, même argentés, dorés ou platinés)")</f>
        <v xml:space="preserve">   Bijouterie de fantaisie (autre qu'en métaux communs, même argentés, dorés ou platinés)</v>
      </c>
      <c r="C4584">
        <v>54373693</v>
      </c>
      <c r="D4584">
        <v>15881</v>
      </c>
    </row>
    <row r="4585" spans="1:4" x14ac:dyDescent="0.25">
      <c r="A4585" t="str">
        <f>T("   720852")</f>
        <v xml:space="preserve">   720852</v>
      </c>
      <c r="B4585" t="str">
        <f>T("   PRODUITS LAMINÉS PLATS, EN FER OU EN ACIER NON-ALLIÉS, D'UNE LARGEUR &gt;= 600 MM, NON-ENROULÉS, SIMPL. LAMINÉS À CHAUD, NON-PLAQUÉS NI REVÊTUS, ÉPAISSEUR &gt;= 4,75 MM MAIS &lt;= 10 MM (SANS MOTIFS EN RELIEF)")</f>
        <v xml:space="preserve">   PRODUITS LAMINÉS PLATS, EN FER OU EN ACIER NON-ALLIÉS, D'UNE LARGEUR &gt;= 600 MM, NON-ENROULÉS, SIMPL. LAMINÉS À CHAUD, NON-PLAQUÉS NI REVÊTUS, ÉPAISSEUR &gt;= 4,75 MM MAIS &lt;= 10 MM (SANS MOTIFS EN RELIEF)</v>
      </c>
      <c r="C4585">
        <v>10733473</v>
      </c>
      <c r="D4585">
        <v>11160</v>
      </c>
    </row>
    <row r="4586" spans="1:4" x14ac:dyDescent="0.25">
      <c r="A4586" t="str">
        <f>T("   720853")</f>
        <v xml:space="preserve">   720853</v>
      </c>
      <c r="B4586" t="str">
        <f>T("   PRODUITS LAMINÉS PLATS, EN FER OU EN ACIER NON-ALLIÉS, D'UNE LARGEUR &gt;= 600 MM, NON-ENROULÉS, SIMPL. LAMINÉS À CHAUD, NON-PLAQUÉS NI REVÊTUS, ÉPAISSEUR &gt;= 3 MM MAIS &lt; 4,75 MM, SANS MOTIFS EN RELIEF")</f>
        <v xml:space="preserve">   PRODUITS LAMINÉS PLATS, EN FER OU EN ACIER NON-ALLIÉS, D'UNE LARGEUR &gt;= 600 MM, NON-ENROULÉS, SIMPL. LAMINÉS À CHAUD, NON-PLAQUÉS NI REVÊTUS, ÉPAISSEUR &gt;= 3 MM MAIS &lt; 4,75 MM, SANS MOTIFS EN RELIEF</v>
      </c>
      <c r="C4586">
        <v>4463610</v>
      </c>
      <c r="D4586">
        <v>5009</v>
      </c>
    </row>
    <row r="4587" spans="1:4" x14ac:dyDescent="0.25">
      <c r="A4587" t="str">
        <f>T("   720854")</f>
        <v xml:space="preserve">   720854</v>
      </c>
      <c r="B4587" t="str">
        <f>T("   PRODUITS LAMINÉS PLATS, EN FER OU EN ACIER NON ALLIÉS, D'UNE LARGEUR &gt;= 600 MM, NON ENROULÉS, SIMPLEMENT LAMINÉS À CHAUD, NON PLAQUÉS NI REVÊTUS, ÉPAISSEUR &lt; 3 MM (SANS MOTIFS EN RELIEF)")</f>
        <v xml:space="preserve">   PRODUITS LAMINÉS PLATS, EN FER OU EN ACIER NON ALLIÉS, D'UNE LARGEUR &gt;= 600 MM, NON ENROULÉS, SIMPLEMENT LAMINÉS À CHAUD, NON PLAQUÉS NI REVÊTUS, ÉPAISSEUR &lt; 3 MM (SANS MOTIFS EN RELIEF)</v>
      </c>
      <c r="C4587">
        <v>3363106</v>
      </c>
      <c r="D4587">
        <v>18969</v>
      </c>
    </row>
    <row r="4588" spans="1:4" x14ac:dyDescent="0.25">
      <c r="A4588" t="str">
        <f>T("   720925")</f>
        <v xml:space="preserve">   720925</v>
      </c>
      <c r="B4588" t="str">
        <f>T("   PRODUITS LAMINÉS PLATS, EN FER OU EN ACIERS NON ALLIÉS, D'UNE LARGEUR &gt;= 600 MM, NON ENROULÉS, SIMPLEMENT LAMINÉS À FROID, NON PLAQUÉS NI REVÊTUS, ÉPAISSEUR &gt;= 3 MM")</f>
        <v xml:space="preserve">   PRODUITS LAMINÉS PLATS, EN FER OU EN ACIERS NON ALLIÉS, D'UNE LARGEUR &gt;= 600 MM, NON ENROULÉS, SIMPLEMENT LAMINÉS À FROID, NON PLAQUÉS NI REVÊTUS, ÉPAISSEUR &gt;= 3 MM</v>
      </c>
      <c r="C4588">
        <v>1887853</v>
      </c>
      <c r="D4588">
        <v>11112</v>
      </c>
    </row>
    <row r="4589" spans="1:4" x14ac:dyDescent="0.25">
      <c r="A4589" t="str">
        <f>T("   720926")</f>
        <v xml:space="preserve">   720926</v>
      </c>
      <c r="B4589" t="str">
        <f>T("   PRODUITS LAMINÉS PLATS, EN FER OU EN ACIERS NON-ALLIÉS, D'UNE LARGEUR &gt;= 600 MM, NON-PLAQUÉS NI REVÊTUS, NON-ENROULÉS, SIMPL. LAMINÉS À FROID, D'UNE ÉPAISSEUR &gt; 1 MM MAIS &lt; 3 MM")</f>
        <v xml:space="preserve">   PRODUITS LAMINÉS PLATS, EN FER OU EN ACIERS NON-ALLIÉS, D'UNE LARGEUR &gt;= 600 MM, NON-PLAQUÉS NI REVÊTUS, NON-ENROULÉS, SIMPL. LAMINÉS À FROID, D'UNE ÉPAISSEUR &gt; 1 MM MAIS &lt; 3 MM</v>
      </c>
      <c r="C4589">
        <v>5324427</v>
      </c>
      <c r="D4589">
        <v>31340</v>
      </c>
    </row>
    <row r="4590" spans="1:4" x14ac:dyDescent="0.25">
      <c r="A4590" t="str">
        <f>T("   720927")</f>
        <v xml:space="preserve">   720927</v>
      </c>
      <c r="B4590" t="str">
        <f>T("   PRODUITS LAMINÉS PLATS, EN FER OU EN ACIERS NON-ALLIÉS, D'UNE LARGEUR &gt;= 600 MM, NON-PLAQUÉS NI REVÊTUS, NON-ENROULÉS, SIMPL. LAMINÉS À FROID, D'UNE ÉPAISSEUR &gt;= 0,5 MM MAIS &lt;= 1 MM")</f>
        <v xml:space="preserve">   PRODUITS LAMINÉS PLATS, EN FER OU EN ACIERS NON-ALLIÉS, D'UNE LARGEUR &gt;= 600 MM, NON-PLAQUÉS NI REVÊTUS, NON-ENROULÉS, SIMPL. LAMINÉS À FROID, D'UNE ÉPAISSEUR &gt;= 0,5 MM MAIS &lt;= 1 MM</v>
      </c>
      <c r="C4590">
        <v>9972560</v>
      </c>
      <c r="D4590">
        <v>58698</v>
      </c>
    </row>
    <row r="4591" spans="1:4" x14ac:dyDescent="0.25">
      <c r="A4591" t="str">
        <f>T("   720990")</f>
        <v xml:space="preserve">   720990</v>
      </c>
      <c r="B4591"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4591">
        <v>3515289</v>
      </c>
      <c r="D4591">
        <v>5148</v>
      </c>
    </row>
    <row r="4592" spans="1:4" x14ac:dyDescent="0.25">
      <c r="A4592" t="str">
        <f>T("   721049")</f>
        <v xml:space="preserve">   721049</v>
      </c>
      <c r="B4592"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4592">
        <v>443321799</v>
      </c>
      <c r="D4592">
        <v>703631</v>
      </c>
    </row>
    <row r="4593" spans="1:4" x14ac:dyDescent="0.25">
      <c r="A4593" t="str">
        <f>T("   721050")</f>
        <v xml:space="preserve">   721050</v>
      </c>
      <c r="B4593" t="str">
        <f>T("   Produits laminés plats, en fer ou en aciers non alliés, d'une largeur &gt;= 600 mm, laminés à chaud ou à froid, revêtus d'oxydes de chrome ou de chrome et oxydes de chrome")</f>
        <v xml:space="preserve">   Produits laminés plats, en fer ou en aciers non alliés, d'une largeur &gt;= 600 mm, laminés à chaud ou à froid, revêtus d'oxydes de chrome ou de chrome et oxydes de chrome</v>
      </c>
      <c r="C4593">
        <v>59588765</v>
      </c>
      <c r="D4593">
        <v>100085</v>
      </c>
    </row>
    <row r="4594" spans="1:4" x14ac:dyDescent="0.25">
      <c r="A4594" t="str">
        <f>T("   721090")</f>
        <v xml:space="preserve">   721090</v>
      </c>
      <c r="B4594" t="s">
        <v>337</v>
      </c>
      <c r="C4594">
        <v>1682413</v>
      </c>
      <c r="D4594">
        <v>1268</v>
      </c>
    </row>
    <row r="4595" spans="1:4" x14ac:dyDescent="0.25">
      <c r="A4595" t="str">
        <f>T("   721250")</f>
        <v xml:space="preserve">   721250</v>
      </c>
      <c r="B4595" t="str">
        <f>T("   PRODUITS LAMINÉS PLATS, EN FER OU EN ACIERS NON-ALLIÉS, D'UNE LARGEUR &lt; 600 MM, LAMINÉS À CHAUD OU À FROID, REVÊTUS (À L'EXCL. DES PRODUITS ÉTAMÉS, ZINGUÉS, PEINTS, VERNIS OU REVÊTUS DE MATIÈRES PLASTIQUES)")</f>
        <v xml:space="preserve">   PRODUITS LAMINÉS PLATS, EN FER OU EN ACIERS NON-ALLIÉS, D'UNE LARGEUR &lt; 600 MM, LAMINÉS À CHAUD OU À FROID, REVÊTUS (À L'EXCL. DES PRODUITS ÉTAMÉS, ZINGUÉS, PEINTS, VERNIS OU REVÊTUS DE MATIÈRES PLASTIQUES)</v>
      </c>
      <c r="C4595">
        <v>264352</v>
      </c>
      <c r="D4595">
        <v>5000</v>
      </c>
    </row>
    <row r="4596" spans="1:4" x14ac:dyDescent="0.25">
      <c r="A4596" t="str">
        <f>T("   721391")</f>
        <v xml:space="preserve">   721391</v>
      </c>
      <c r="B4596"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4596">
        <v>60679875</v>
      </c>
      <c r="D4596">
        <v>100941</v>
      </c>
    </row>
    <row r="4597" spans="1:4" x14ac:dyDescent="0.25">
      <c r="A4597" t="str">
        <f>T("   721420")</f>
        <v xml:space="preserve">   721420</v>
      </c>
      <c r="B4597"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4597">
        <v>1155645608</v>
      </c>
      <c r="D4597">
        <v>3469024</v>
      </c>
    </row>
    <row r="4598" spans="1:4" x14ac:dyDescent="0.25">
      <c r="A4598" t="str">
        <f>T("   721499")</f>
        <v xml:space="preserve">   721499</v>
      </c>
      <c r="B4598" t="s">
        <v>340</v>
      </c>
      <c r="C4598">
        <v>2703478</v>
      </c>
      <c r="D4598">
        <v>1811</v>
      </c>
    </row>
    <row r="4599" spans="1:4" x14ac:dyDescent="0.25">
      <c r="A4599" t="str">
        <f>T("   721550")</f>
        <v xml:space="preserve">   721550</v>
      </c>
      <c r="B4599" t="str">
        <f>T("   BARRES EN FER OU EN ACIERS NON-ALLIÉS, SIMPL. OBTENUES OU PARACHEVÉES À FROID (À L'EXCL. DES BARRES EN ACIERS DE DÉCOLLETAGE)")</f>
        <v xml:space="preserve">   BARRES EN FER OU EN ACIERS NON-ALLIÉS, SIMPL. OBTENUES OU PARACHEVÉES À FROID (À L'EXCL. DES BARRES EN ACIERS DE DÉCOLLETAGE)</v>
      </c>
      <c r="C4599">
        <v>766818</v>
      </c>
      <c r="D4599">
        <v>640</v>
      </c>
    </row>
    <row r="4600" spans="1:4" x14ac:dyDescent="0.25">
      <c r="A4600" t="str">
        <f>T("   721590")</f>
        <v xml:space="preserve">   721590</v>
      </c>
      <c r="B4600"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4600">
        <v>13832228</v>
      </c>
      <c r="D4600">
        <v>12650</v>
      </c>
    </row>
    <row r="4601" spans="1:4" x14ac:dyDescent="0.25">
      <c r="A4601" t="str">
        <f>T("   721631")</f>
        <v xml:space="preserve">   721631</v>
      </c>
      <c r="B4601" t="str">
        <f>T("   PROFILÉS EN U, EN FER OU EN ACIERS NON-ALLIÉS, SIMPL. LAMINÉS OU FILÉS À CHAUD, D'UNE HAUTEUR &gt;= 80 MM")</f>
        <v xml:space="preserve">   PROFILÉS EN U, EN FER OU EN ACIERS NON-ALLIÉS, SIMPL. LAMINÉS OU FILÉS À CHAUD, D'UNE HAUTEUR &gt;= 80 MM</v>
      </c>
      <c r="C4601">
        <v>246641</v>
      </c>
      <c r="D4601">
        <v>46</v>
      </c>
    </row>
    <row r="4602" spans="1:4" x14ac:dyDescent="0.25">
      <c r="A4602" t="str">
        <f>T("   721650")</f>
        <v xml:space="preserve">   721650</v>
      </c>
      <c r="B4602"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4602">
        <v>6554240</v>
      </c>
      <c r="D4602">
        <v>17920</v>
      </c>
    </row>
    <row r="4603" spans="1:4" x14ac:dyDescent="0.25">
      <c r="A4603" t="str">
        <f>T("   721669")</f>
        <v xml:space="preserve">   721669</v>
      </c>
      <c r="B4603"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4603">
        <v>1704709</v>
      </c>
      <c r="D4603">
        <v>2540</v>
      </c>
    </row>
    <row r="4604" spans="1:4" x14ac:dyDescent="0.25">
      <c r="A4604" t="str">
        <f>T("   721720")</f>
        <v xml:space="preserve">   721720</v>
      </c>
      <c r="B4604" t="str">
        <f>T("   FILS EN FER OU EN ACIERS NON-ALLIÉS, ENROULÉS, ZINGUÉS (À L'EXCL. DU FIL MACHINE)")</f>
        <v xml:space="preserve">   FILS EN FER OU EN ACIERS NON-ALLIÉS, ENROULÉS, ZINGUÉS (À L'EXCL. DU FIL MACHINE)</v>
      </c>
      <c r="C4604">
        <v>10718747</v>
      </c>
      <c r="D4604">
        <v>14536</v>
      </c>
    </row>
    <row r="4605" spans="1:4" x14ac:dyDescent="0.25">
      <c r="A4605" t="str">
        <f>T("   721730")</f>
        <v xml:space="preserve">   721730</v>
      </c>
      <c r="B4605"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4605">
        <v>791745</v>
      </c>
      <c r="D4605">
        <v>413</v>
      </c>
    </row>
    <row r="4606" spans="1:4" x14ac:dyDescent="0.25">
      <c r="A4606" t="str">
        <f>T("   721911")</f>
        <v xml:space="preserve">   721911</v>
      </c>
      <c r="B4606" t="str">
        <f>T("   PRODUITS LAMINÉS PLATS, EN ACIERS INOXYDABLES, D'UNE LARGEUR &gt;= 600 MM, SIMPLEMENT LAMINÉS À CHAUD, ENROULÉS, D'UNE ÉPAISSEUR &gt; 10 MM")</f>
        <v xml:space="preserve">   PRODUITS LAMINÉS PLATS, EN ACIERS INOXYDABLES, D'UNE LARGEUR &gt;= 600 MM, SIMPLEMENT LAMINÉS À CHAUD, ENROULÉS, D'UNE ÉPAISSEUR &gt; 10 MM</v>
      </c>
      <c r="C4606">
        <v>741235</v>
      </c>
      <c r="D4606">
        <v>600</v>
      </c>
    </row>
    <row r="4607" spans="1:4" x14ac:dyDescent="0.25">
      <c r="A4607" t="str">
        <f>T("   721990")</f>
        <v xml:space="preserve">   721990</v>
      </c>
      <c r="B4607" t="str">
        <f>T("   Produits laminés plats, en aciers inoxydables, d'une largeur &gt;= 600 mm, laminés à chaud ou à froid et ayant subi certaines ouvraisons plus poussées")</f>
        <v xml:space="preserve">   Produits laminés plats, en aciers inoxydables, d'une largeur &gt;= 600 mm, laminés à chaud ou à froid et ayant subi certaines ouvraisons plus poussées</v>
      </c>
      <c r="C4607">
        <v>11562671</v>
      </c>
      <c r="D4607">
        <v>19385</v>
      </c>
    </row>
    <row r="4608" spans="1:4" x14ac:dyDescent="0.25">
      <c r="A4608" t="str">
        <f>T("   722300")</f>
        <v xml:space="preserve">   722300</v>
      </c>
      <c r="B4608" t="str">
        <f>T("   Fils en aciers inoxydables, en couronnes ou rouleaux (autres que fil machine)")</f>
        <v xml:space="preserve">   Fils en aciers inoxydables, en couronnes ou rouleaux (autres que fil machine)</v>
      </c>
      <c r="C4608">
        <v>251503</v>
      </c>
      <c r="D4608">
        <v>13</v>
      </c>
    </row>
    <row r="4609" spans="1:4" x14ac:dyDescent="0.25">
      <c r="A4609" t="str">
        <f>T("   722540")</f>
        <v xml:space="preserve">   722540</v>
      </c>
      <c r="B4609" t="str">
        <f>T("   PRODUITS LAMINÉS PLATS EN ACIERS ALLIÉS AUTRES QU'ACIERS INOXYDABLES, D'UNE LARGEUR &gt;= 600 MM, SIMPL. LAMINÉS À CHAUD, NON-ENROULÉS (SAUF ACIERS AU SILICIUM DITS -MAGNÉTIQUES-)")</f>
        <v xml:space="preserve">   PRODUITS LAMINÉS PLATS EN ACIERS ALLIÉS AUTRES QU'ACIERS INOXYDABLES, D'UNE LARGEUR &gt;= 600 MM, SIMPL. LAMINÉS À CHAUD, NON-ENROULÉS (SAUF ACIERS AU SILICIUM DITS -MAGNÉTIQUES-)</v>
      </c>
      <c r="C4609">
        <v>1336453</v>
      </c>
      <c r="D4609">
        <v>980</v>
      </c>
    </row>
    <row r="4610" spans="1:4" x14ac:dyDescent="0.25">
      <c r="A4610" t="str">
        <f>T("   722790")</f>
        <v xml:space="preserve">   722790</v>
      </c>
      <c r="B4610" t="str">
        <f>T("   FIL MACHINE EN ACIERS ALLIÉS AUTRES QU'ACIERS INOXYDABLES, ENROULÉ IRRÉGULIÈREMENT EN COURONNE (SAUF EN ACIERS À COUPE RAPIDE OU ACIERS SILICOMANGANEUX)")</f>
        <v xml:space="preserve">   FIL MACHINE EN ACIERS ALLIÉS AUTRES QU'ACIERS INOXYDABLES, ENROULÉ IRRÉGULIÈREMENT EN COURONNE (SAUF EN ACIERS À COUPE RAPIDE OU ACIERS SILICOMANGANEUX)</v>
      </c>
      <c r="C4610">
        <v>314972</v>
      </c>
      <c r="D4610">
        <v>275.14</v>
      </c>
    </row>
    <row r="4611" spans="1:4" x14ac:dyDescent="0.25">
      <c r="A4611" t="str">
        <f>T("   722860")</f>
        <v xml:space="preserve">   722860</v>
      </c>
      <c r="B4611" t="str">
        <f>T("   Barres en aciers alliés autres qu'aciers inoxydables, obtenues ou parachevées à froid et autrement traitées, ou obtenues à chaud et autrement traitées n.d.a. (sauf en aciers à coupe rapide ou aciers silicomanganeux)")</f>
        <v xml:space="preserve">   Barres en aciers alliés autres qu'aciers inoxydables, obtenues ou parachevées à froid et autrement traitées, ou obtenues à chaud et autrement traitées n.d.a. (sauf en aciers à coupe rapide ou aciers silicomanganeux)</v>
      </c>
      <c r="C4611">
        <v>5474642</v>
      </c>
      <c r="D4611">
        <v>1803</v>
      </c>
    </row>
    <row r="4612" spans="1:4" x14ac:dyDescent="0.25">
      <c r="A4612" t="str">
        <f>T("   722990")</f>
        <v xml:space="preserve">   722990</v>
      </c>
      <c r="B4612" t="str">
        <f>T("   FILS EN ACIERS ALLIÉS AUTRES QU'ACIERS INOXYDABLES, EN COURONNES OU EN ROULEAUX (SAUF FIL MACHINE ET FIL EN ACIERS SILICOMANGANEUX)")</f>
        <v xml:space="preserve">   FILS EN ACIERS ALLIÉS AUTRES QU'ACIERS INOXYDABLES, EN COURONNES OU EN ROULEAUX (SAUF FIL MACHINE ET FIL EN ACIERS SILICOMANGANEUX)</v>
      </c>
      <c r="C4612">
        <v>1821784</v>
      </c>
      <c r="D4612">
        <v>407</v>
      </c>
    </row>
    <row r="4613" spans="1:4" x14ac:dyDescent="0.25">
      <c r="A4613" t="str">
        <f>T("   730230")</f>
        <v xml:space="preserve">   730230</v>
      </c>
      <c r="B4613" t="str">
        <f>T("   Aiguilles, pointes de coeur, tringles d'aiguillage et autres éléments de croisement ou de changement de voies, en fonte, fer ou acier")</f>
        <v xml:space="preserve">   Aiguilles, pointes de coeur, tringles d'aiguillage et autres éléments de croisement ou de changement de voies, en fonte, fer ou acier</v>
      </c>
      <c r="C4613">
        <v>186073549</v>
      </c>
      <c r="D4613">
        <v>31425</v>
      </c>
    </row>
    <row r="4614" spans="1:4" x14ac:dyDescent="0.25">
      <c r="A4614" t="str">
        <f>T("   730290")</f>
        <v xml:space="preserve">   730290</v>
      </c>
      <c r="B4614" t="s">
        <v>342</v>
      </c>
      <c r="C4614">
        <v>31645478</v>
      </c>
      <c r="D4614">
        <v>39342</v>
      </c>
    </row>
    <row r="4615" spans="1:4" x14ac:dyDescent="0.25">
      <c r="A4615" t="str">
        <f>T("   730300")</f>
        <v xml:space="preserve">   730300</v>
      </c>
      <c r="B4615" t="str">
        <f>T("   Tubes, tuyaux et profilés creux, en fonte")</f>
        <v xml:space="preserve">   Tubes, tuyaux et profilés creux, en fonte</v>
      </c>
      <c r="C4615">
        <v>24811150</v>
      </c>
      <c r="D4615">
        <v>9316.66</v>
      </c>
    </row>
    <row r="4616" spans="1:4" x14ac:dyDescent="0.25">
      <c r="A4616" t="str">
        <f>T("   730429")</f>
        <v xml:space="preserve">   730429</v>
      </c>
      <c r="B4616" t="str">
        <f>T("   Tubes et tuyaux de cuvelage ou de production sans soudure, en fer (à l'excl. de la fonte) ou en acier, des types utilisés pour l'extraction du pétrole ou du gaz")</f>
        <v xml:space="preserve">   Tubes et tuyaux de cuvelage ou de production sans soudure, en fer (à l'excl. de la fonte) ou en acier, des types utilisés pour l'extraction du pétrole ou du gaz</v>
      </c>
      <c r="C4616">
        <v>380995</v>
      </c>
      <c r="D4616">
        <v>190</v>
      </c>
    </row>
    <row r="4617" spans="1:4" x14ac:dyDescent="0.25">
      <c r="A4617" t="str">
        <f>T("   730490")</f>
        <v xml:space="preserve">   730490</v>
      </c>
      <c r="B4617" t="str">
        <f>T("   Tubes, tuyaux et profilés creux, sans soudure, de section autre que circulaire, en fer (à l'excl. de la fonte) ou en acier")</f>
        <v xml:space="preserve">   Tubes, tuyaux et profilés creux, sans soudure, de section autre que circulaire, en fer (à l'excl. de la fonte) ou en acier</v>
      </c>
      <c r="C4617">
        <v>1105948</v>
      </c>
      <c r="D4617">
        <v>508</v>
      </c>
    </row>
    <row r="4618" spans="1:4" x14ac:dyDescent="0.25">
      <c r="A4618" t="str">
        <f>T("   730590")</f>
        <v xml:space="preserve">   730590</v>
      </c>
      <c r="B4618" t="str">
        <f>T("   Tubes et tuyaux de section circulaire, d'un diamètre extérieur &gt; 406,4 mm, en produits laminés plats en fer ou en acier (sauf soudés et sauf tubes des types utilisés pour les oléoducs et gazoducs ou pour l'extraction de pétrole ou de gaz)")</f>
        <v xml:space="preserve">   Tubes et tuyaux de section circulaire, d'un diamètre extérieur &gt; 406,4 mm, en produits laminés plats en fer ou en acier (sauf soudés et sauf tubes des types utilisés pour les oléoducs et gazoducs ou pour l'extraction de pétrole ou de gaz)</v>
      </c>
      <c r="C4618">
        <v>2874200</v>
      </c>
      <c r="D4618">
        <v>1494</v>
      </c>
    </row>
    <row r="4619" spans="1:4" x14ac:dyDescent="0.25">
      <c r="A4619" t="str">
        <f>T("   730630")</f>
        <v xml:space="preserve">   730630</v>
      </c>
      <c r="B4619" t="s">
        <v>345</v>
      </c>
      <c r="C4619">
        <v>526080</v>
      </c>
      <c r="D4619">
        <v>24</v>
      </c>
    </row>
    <row r="4620" spans="1:4" x14ac:dyDescent="0.25">
      <c r="A4620" t="str">
        <f>T("   730640")</f>
        <v xml:space="preserve">   730640</v>
      </c>
      <c r="B4620" t="s">
        <v>346</v>
      </c>
      <c r="C4620">
        <v>3634943</v>
      </c>
      <c r="D4620">
        <v>249</v>
      </c>
    </row>
    <row r="4621" spans="1:4" x14ac:dyDescent="0.25">
      <c r="A4621" t="str">
        <f>T("   730660")</f>
        <v xml:space="preserve">   730660</v>
      </c>
      <c r="B4621" t="s">
        <v>348</v>
      </c>
      <c r="C4621">
        <v>24101865</v>
      </c>
      <c r="D4621">
        <v>17610</v>
      </c>
    </row>
    <row r="4622" spans="1:4" x14ac:dyDescent="0.25">
      <c r="A4622" t="str">
        <f>T("   730690")</f>
        <v xml:space="preserve">   730690</v>
      </c>
      <c r="B4622"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4622">
        <v>279189218</v>
      </c>
      <c r="D4622">
        <v>173542</v>
      </c>
    </row>
    <row r="4623" spans="1:4" x14ac:dyDescent="0.25">
      <c r="A4623" t="str">
        <f>T("   730719")</f>
        <v xml:space="preserve">   730719</v>
      </c>
      <c r="B4623" t="str">
        <f>T("   Accessoires de tuyauterie moulés en fonte, fer ou acier (sauf fonte non-malléable)")</f>
        <v xml:space="preserve">   Accessoires de tuyauterie moulés en fonte, fer ou acier (sauf fonte non-malléable)</v>
      </c>
      <c r="C4623">
        <v>34002283</v>
      </c>
      <c r="D4623">
        <v>2993.61</v>
      </c>
    </row>
    <row r="4624" spans="1:4" x14ac:dyDescent="0.25">
      <c r="A4624" t="str">
        <f>T("   730721")</f>
        <v xml:space="preserve">   730721</v>
      </c>
      <c r="B4624" t="str">
        <f>T("   Brides en aciers inoxydables (non moulés)")</f>
        <v xml:space="preserve">   Brides en aciers inoxydables (non moulés)</v>
      </c>
      <c r="C4624">
        <v>80027</v>
      </c>
      <c r="D4624">
        <v>7</v>
      </c>
    </row>
    <row r="4625" spans="1:4" x14ac:dyDescent="0.25">
      <c r="A4625" t="str">
        <f>T("   730722")</f>
        <v xml:space="preserve">   730722</v>
      </c>
      <c r="B4625" t="str">
        <f>T("   COUDES, COURBES ET MANCHONS EN ACIERS INOXYDABLES, FILETÉS (NON-MOULÉS)")</f>
        <v xml:space="preserve">   COUDES, COURBES ET MANCHONS EN ACIERS INOXYDABLES, FILETÉS (NON-MOULÉS)</v>
      </c>
      <c r="C4625">
        <v>1209590</v>
      </c>
      <c r="D4625">
        <v>74</v>
      </c>
    </row>
    <row r="4626" spans="1:4" x14ac:dyDescent="0.25">
      <c r="A4626" t="str">
        <f>T("   730723")</f>
        <v xml:space="preserve">   730723</v>
      </c>
      <c r="B4626" t="str">
        <f>T("   ACCESSOIRES DE TUYAUTERIE EN ACIERS INOXYDABLES, À SOUDER BOUT À BOUT (NON-MOULÉS)")</f>
        <v xml:space="preserve">   ACCESSOIRES DE TUYAUTERIE EN ACIERS INOXYDABLES, À SOUDER BOUT À BOUT (NON-MOULÉS)</v>
      </c>
      <c r="C4626">
        <v>310925</v>
      </c>
      <c r="D4626">
        <v>33</v>
      </c>
    </row>
    <row r="4627" spans="1:4" x14ac:dyDescent="0.25">
      <c r="A4627" t="str">
        <f>T("   730729")</f>
        <v xml:space="preserve">   730729</v>
      </c>
      <c r="B4627" t="str">
        <f>T("   ACCESSOIRES DE TUYAUTERIE, EN ACIERS INOXYDABLES (NON-MOULÉS ET SAUF BRIDES; COUDES, COURBES ET MANCHONS FILETÉS; ACCESSOIRES À SOUDER BOUT À BOUT)")</f>
        <v xml:space="preserve">   ACCESSOIRES DE TUYAUTERIE, EN ACIERS INOXYDABLES (NON-MOULÉS ET SAUF BRIDES; COUDES, COURBES ET MANCHONS FILETÉS; ACCESSOIRES À SOUDER BOUT À BOUT)</v>
      </c>
      <c r="C4627">
        <v>268288</v>
      </c>
      <c r="D4627">
        <v>7</v>
      </c>
    </row>
    <row r="4628" spans="1:4" x14ac:dyDescent="0.25">
      <c r="A4628" t="str">
        <f>T("   730791")</f>
        <v xml:space="preserve">   730791</v>
      </c>
      <c r="B4628" t="str">
        <f>T("   Brides en fer ou aciers (autres que moulés ou en acier inoxydable)")</f>
        <v xml:space="preserve">   Brides en fer ou aciers (autres que moulés ou en acier inoxydable)</v>
      </c>
      <c r="C4628">
        <v>3616524</v>
      </c>
      <c r="D4628">
        <v>374</v>
      </c>
    </row>
    <row r="4629" spans="1:4" x14ac:dyDescent="0.25">
      <c r="A4629" t="str">
        <f>T("   730792")</f>
        <v xml:space="preserve">   730792</v>
      </c>
      <c r="B4629" t="str">
        <f>T("   Coudes, courbes et manchons en fer ou en aciers, filetés (autres que moulés ou en aciers inoxydables)")</f>
        <v xml:space="preserve">   Coudes, courbes et manchons en fer ou en aciers, filetés (autres que moulés ou en aciers inoxydables)</v>
      </c>
      <c r="C4629">
        <v>36159867</v>
      </c>
      <c r="D4629">
        <v>10546</v>
      </c>
    </row>
    <row r="4630" spans="1:4" x14ac:dyDescent="0.25">
      <c r="A4630" t="str">
        <f>T("   730793")</f>
        <v xml:space="preserve">   730793</v>
      </c>
      <c r="B4630" t="str">
        <f>T("   ACCESSOIRES DE TUYAUTERIE EN FER OU EN ACIERS, À SOUDER BOUT À BOUT (AUTRES QUE MOULÉS OU EN ACIERS INOXYDABLES ET SAUF BRIDES)")</f>
        <v xml:space="preserve">   ACCESSOIRES DE TUYAUTERIE EN FER OU EN ACIERS, À SOUDER BOUT À BOUT (AUTRES QUE MOULÉS OU EN ACIERS INOXYDABLES ET SAUF BRIDES)</v>
      </c>
      <c r="C4630">
        <v>3874867</v>
      </c>
      <c r="D4630">
        <v>350</v>
      </c>
    </row>
    <row r="4631" spans="1:4" x14ac:dyDescent="0.25">
      <c r="A4631" t="str">
        <f>T("   730799")</f>
        <v xml:space="preserve">   730799</v>
      </c>
      <c r="B4631"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4631">
        <v>99972247</v>
      </c>
      <c r="D4631">
        <v>21676</v>
      </c>
    </row>
    <row r="4632" spans="1:4" x14ac:dyDescent="0.25">
      <c r="A4632" t="str">
        <f>T("   730820")</f>
        <v xml:space="preserve">   730820</v>
      </c>
      <c r="B4632" t="str">
        <f>T("   Tours et pylônes, en fer ou en acier")</f>
        <v xml:space="preserve">   Tours et pylônes, en fer ou en acier</v>
      </c>
      <c r="C4632">
        <v>15777028</v>
      </c>
      <c r="D4632">
        <v>9175</v>
      </c>
    </row>
    <row r="4633" spans="1:4" x14ac:dyDescent="0.25">
      <c r="A4633" t="str">
        <f>T("   730830")</f>
        <v xml:space="preserve">   730830</v>
      </c>
      <c r="B4633" t="str">
        <f>T("   Portes, fenêtres et leurs cadres et chambranles ainsi que leurs seuils, en fer ou en acier")</f>
        <v xml:space="preserve">   Portes, fenêtres et leurs cadres et chambranles ainsi que leurs seuils, en fer ou en acier</v>
      </c>
      <c r="C4633">
        <v>6869215</v>
      </c>
      <c r="D4633">
        <v>11601</v>
      </c>
    </row>
    <row r="4634" spans="1:4" x14ac:dyDescent="0.25">
      <c r="A4634" t="str">
        <f>T("   730840")</f>
        <v xml:space="preserve">   730840</v>
      </c>
      <c r="B4634"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4634">
        <v>38772681</v>
      </c>
      <c r="D4634">
        <v>45230.33</v>
      </c>
    </row>
    <row r="4635" spans="1:4" x14ac:dyDescent="0.25">
      <c r="A4635" t="str">
        <f>T("   730890")</f>
        <v xml:space="preserve">   730890</v>
      </c>
      <c r="B4635" t="s">
        <v>349</v>
      </c>
      <c r="C4635">
        <v>81695663</v>
      </c>
      <c r="D4635">
        <v>111033</v>
      </c>
    </row>
    <row r="4636" spans="1:4" x14ac:dyDescent="0.25">
      <c r="A4636" t="str">
        <f>T("   730900")</f>
        <v xml:space="preserve">   730900</v>
      </c>
      <c r="B4636" t="s">
        <v>350</v>
      </c>
      <c r="C4636">
        <v>6133423</v>
      </c>
      <c r="D4636">
        <v>8562</v>
      </c>
    </row>
    <row r="4637" spans="1:4" x14ac:dyDescent="0.25">
      <c r="A4637" t="str">
        <f>T("   731010")</f>
        <v xml:space="preserve">   731010</v>
      </c>
      <c r="B4637"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4637">
        <v>124632</v>
      </c>
      <c r="D4637">
        <v>29</v>
      </c>
    </row>
    <row r="4638" spans="1:4" x14ac:dyDescent="0.25">
      <c r="A4638" t="str">
        <f>T("   731029")</f>
        <v xml:space="preserve">   731029</v>
      </c>
      <c r="B4638"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4638">
        <v>646121</v>
      </c>
      <c r="D4638">
        <v>155</v>
      </c>
    </row>
    <row r="4639" spans="1:4" x14ac:dyDescent="0.25">
      <c r="A4639" t="str">
        <f>T("   731100")</f>
        <v xml:space="preserve">   731100</v>
      </c>
      <c r="B4639"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4639">
        <v>9888597</v>
      </c>
      <c r="D4639">
        <v>18590</v>
      </c>
    </row>
    <row r="4640" spans="1:4" x14ac:dyDescent="0.25">
      <c r="A4640" t="str">
        <f>T("   731210")</f>
        <v xml:space="preserve">   731210</v>
      </c>
      <c r="B4640"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4640">
        <v>2343089</v>
      </c>
      <c r="D4640">
        <v>725</v>
      </c>
    </row>
    <row r="4641" spans="1:4" x14ac:dyDescent="0.25">
      <c r="A4641" t="str">
        <f>T("   731290")</f>
        <v xml:space="preserve">   731290</v>
      </c>
      <c r="B4641" t="str">
        <f>T("   Tresses, élingues et simil., en fer ou en acier (sauf produits isolés pour l'électricité)")</f>
        <v xml:space="preserve">   Tresses, élingues et simil., en fer ou en acier (sauf produits isolés pour l'électricité)</v>
      </c>
      <c r="C4641">
        <v>10453911</v>
      </c>
      <c r="D4641">
        <v>2170</v>
      </c>
    </row>
    <row r="4642" spans="1:4" x14ac:dyDescent="0.25">
      <c r="A4642" t="str">
        <f>T("   731300")</f>
        <v xml:space="preserve">   731300</v>
      </c>
      <c r="B4642" t="str">
        <f>T("   Ronces artificielles en fer ou en acier; torsades, barbelées ou non, en fils ou en feuillard de fer ou d'acier, des types utilisés pour les clôtures")</f>
        <v xml:space="preserve">   Ronces artificielles en fer ou en acier; torsades, barbelées ou non, en fils ou en feuillard de fer ou d'acier, des types utilisés pour les clôtures</v>
      </c>
      <c r="C4642">
        <v>669735</v>
      </c>
      <c r="D4642">
        <v>2000</v>
      </c>
    </row>
    <row r="4643" spans="1:4" x14ac:dyDescent="0.25">
      <c r="A4643" t="str">
        <f>T("   731419")</f>
        <v xml:space="preserve">   731419</v>
      </c>
      <c r="B4643" t="s">
        <v>352</v>
      </c>
      <c r="C4643">
        <v>37815084</v>
      </c>
      <c r="D4643">
        <v>21420</v>
      </c>
    </row>
    <row r="4644" spans="1:4" x14ac:dyDescent="0.25">
      <c r="A4644" t="str">
        <f>T("   731439")</f>
        <v xml:space="preserve">   731439</v>
      </c>
      <c r="B4644" t="str">
        <f>T("   Grillages et treillis, en fils de fer ou d'acier, soudés aux points de rencontre (sauf en fils dont la plus grande dimension de la coupe transversale est &gt;= 3 mm avec une surface de mailles &gt;= 100 cm² et autres que zingués)")</f>
        <v xml:space="preserve">   Grillages et treillis, en fils de fer ou d'acier, soudés aux points de rencontre (sauf en fils dont la plus grande dimension de la coupe transversale est &gt;= 3 mm avec une surface de mailles &gt;= 100 cm² et autres que zingués)</v>
      </c>
      <c r="C4644">
        <v>56504394</v>
      </c>
      <c r="D4644">
        <v>52880</v>
      </c>
    </row>
    <row r="4645" spans="1:4" x14ac:dyDescent="0.25">
      <c r="A4645" t="str">
        <f>T("   731442")</f>
        <v xml:space="preserve">   731442</v>
      </c>
      <c r="B4645" t="str">
        <f>T("   GRILLAGES ET TREILLIS, EN FILS DE FER OU D'ACIER, NON-SOUDÉS AUX POINTS DE RENCONTRE, RECOUVERTS DE MATIÈRES PLASTIQUES")</f>
        <v xml:space="preserve">   GRILLAGES ET TREILLIS, EN FILS DE FER OU D'ACIER, NON-SOUDÉS AUX POINTS DE RENCONTRE, RECOUVERTS DE MATIÈRES PLASTIQUES</v>
      </c>
      <c r="C4645">
        <v>450920</v>
      </c>
      <c r="D4645">
        <v>1106</v>
      </c>
    </row>
    <row r="4646" spans="1:4" x14ac:dyDescent="0.25">
      <c r="A4646" t="str">
        <f>T("   731449")</f>
        <v xml:space="preserve">   731449</v>
      </c>
      <c r="B4646"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4646">
        <v>2035444</v>
      </c>
      <c r="D4646">
        <v>994</v>
      </c>
    </row>
    <row r="4647" spans="1:4" x14ac:dyDescent="0.25">
      <c r="A4647" t="str">
        <f>T("   731450")</f>
        <v xml:space="preserve">   731450</v>
      </c>
      <c r="B4647" t="str">
        <f>T("   Tôles et bandes déployées en fer ou en acier")</f>
        <v xml:space="preserve">   Tôles et bandes déployées en fer ou en acier</v>
      </c>
      <c r="C4647">
        <v>282063</v>
      </c>
      <c r="D4647">
        <v>1340</v>
      </c>
    </row>
    <row r="4648" spans="1:4" x14ac:dyDescent="0.25">
      <c r="A4648" t="str">
        <f>T("   731511")</f>
        <v xml:space="preserve">   731511</v>
      </c>
      <c r="B4648" t="str">
        <f>T("   Chaînes à rouleaux en fonte, fer ou acier")</f>
        <v xml:space="preserve">   Chaînes à rouleaux en fonte, fer ou acier</v>
      </c>
      <c r="C4648">
        <v>19053611</v>
      </c>
      <c r="D4648">
        <v>3212</v>
      </c>
    </row>
    <row r="4649" spans="1:4" x14ac:dyDescent="0.25">
      <c r="A4649" t="str">
        <f>T("   731512")</f>
        <v xml:space="preserve">   731512</v>
      </c>
      <c r="B4649" t="str">
        <f>T("   Chaînes à maillons articulés en fonte, fer ou acier (autres qu'à rouleaux)")</f>
        <v xml:space="preserve">   Chaînes à maillons articulés en fonte, fer ou acier (autres qu'à rouleaux)</v>
      </c>
      <c r="C4649">
        <v>16361132</v>
      </c>
      <c r="D4649">
        <v>1318</v>
      </c>
    </row>
    <row r="4650" spans="1:4" x14ac:dyDescent="0.25">
      <c r="A4650" t="str">
        <f>T("   731519")</f>
        <v xml:space="preserve">   731519</v>
      </c>
      <c r="B4650" t="str">
        <f>T("   Parties de chaînes à maillons articulés en fonte, fer ou acier")</f>
        <v xml:space="preserve">   Parties de chaînes à maillons articulés en fonte, fer ou acier</v>
      </c>
      <c r="C4650">
        <v>626134</v>
      </c>
      <c r="D4650">
        <v>53</v>
      </c>
    </row>
    <row r="4651" spans="1:4" x14ac:dyDescent="0.25">
      <c r="A4651" t="str">
        <f>T("   731589")</f>
        <v xml:space="preserve">   731589</v>
      </c>
      <c r="B4651" t="s">
        <v>353</v>
      </c>
      <c r="C4651">
        <v>70295250</v>
      </c>
      <c r="D4651">
        <v>24832</v>
      </c>
    </row>
    <row r="4652" spans="1:4" x14ac:dyDescent="0.25">
      <c r="A4652" t="str">
        <f>T("   731590")</f>
        <v xml:space="preserve">   731590</v>
      </c>
      <c r="B4652" t="str">
        <f>T("   Parties de chaînes et chaînettes antidérapantes, à maillons à étais, et autres chaînes et chaînettes du n° 7315 (sauf de chaînes à maillons articulés)")</f>
        <v xml:space="preserve">   Parties de chaînes et chaînettes antidérapantes, à maillons à étais, et autres chaînes et chaînettes du n° 7315 (sauf de chaînes à maillons articulés)</v>
      </c>
      <c r="C4652">
        <v>8887982</v>
      </c>
      <c r="D4652">
        <v>1242</v>
      </c>
    </row>
    <row r="4653" spans="1:4" x14ac:dyDescent="0.25">
      <c r="A4653" t="str">
        <f>T("   731600")</f>
        <v xml:space="preserve">   731600</v>
      </c>
      <c r="B4653" t="str">
        <f>T("   Ancres, grappins et leurs parties, en fonte, fer ou acier")</f>
        <v xml:space="preserve">   Ancres, grappins et leurs parties, en fonte, fer ou acier</v>
      </c>
      <c r="C4653">
        <v>56539816</v>
      </c>
      <c r="D4653">
        <v>750</v>
      </c>
    </row>
    <row r="4654" spans="1:4" x14ac:dyDescent="0.25">
      <c r="A4654" t="str">
        <f>T("   731700")</f>
        <v xml:space="preserve">   731700</v>
      </c>
      <c r="B4654"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4654">
        <v>1603168</v>
      </c>
      <c r="D4654">
        <v>88</v>
      </c>
    </row>
    <row r="4655" spans="1:4" x14ac:dyDescent="0.25">
      <c r="A4655" t="str">
        <f>T("   731813")</f>
        <v xml:space="preserve">   731813</v>
      </c>
      <c r="B4655" t="str">
        <f>T("   Crochets et pitons à pas de vis en fonte, fer ou acier")</f>
        <v xml:space="preserve">   Crochets et pitons à pas de vis en fonte, fer ou acier</v>
      </c>
      <c r="C4655">
        <v>1131531</v>
      </c>
      <c r="D4655">
        <v>170</v>
      </c>
    </row>
    <row r="4656" spans="1:4" x14ac:dyDescent="0.25">
      <c r="A4656" t="str">
        <f>T("   731815")</f>
        <v xml:space="preserve">   731815</v>
      </c>
      <c r="B4656" t="s">
        <v>354</v>
      </c>
      <c r="C4656">
        <v>88408927</v>
      </c>
      <c r="D4656">
        <v>50691.6</v>
      </c>
    </row>
    <row r="4657" spans="1:4" x14ac:dyDescent="0.25">
      <c r="A4657" t="str">
        <f>T("   731816")</f>
        <v xml:space="preserve">   731816</v>
      </c>
      <c r="B4657" t="str">
        <f>T("   ÉCROUS EN FONTE, FER OU ACIER")</f>
        <v xml:space="preserve">   ÉCROUS EN FONTE, FER OU ACIER</v>
      </c>
      <c r="C4657">
        <v>5029638</v>
      </c>
      <c r="D4657">
        <v>246.6</v>
      </c>
    </row>
    <row r="4658" spans="1:4" x14ac:dyDescent="0.25">
      <c r="A4658" t="str">
        <f>T("   731819")</f>
        <v xml:space="preserve">   731819</v>
      </c>
      <c r="B4658" t="str">
        <f>T("   Articles de boulonnerie et de visserie, filetés, en fonte, fer ou acier, n.d.a.")</f>
        <v xml:space="preserve">   Articles de boulonnerie et de visserie, filetés, en fonte, fer ou acier, n.d.a.</v>
      </c>
      <c r="C4658">
        <v>14798326</v>
      </c>
      <c r="D4658">
        <v>2880</v>
      </c>
    </row>
    <row r="4659" spans="1:4" x14ac:dyDescent="0.25">
      <c r="A4659" t="str">
        <f>T("   731821")</f>
        <v xml:space="preserve">   731821</v>
      </c>
      <c r="B4659" t="str">
        <f>T("   Rondelles destinées à faire ressort et autres rondelles de blocage, en fonte, fer ou acier")</f>
        <v xml:space="preserve">   Rondelles destinées à faire ressort et autres rondelles de blocage, en fonte, fer ou acier</v>
      </c>
      <c r="C4659">
        <v>2624</v>
      </c>
      <c r="D4659">
        <v>1</v>
      </c>
    </row>
    <row r="4660" spans="1:4" x14ac:dyDescent="0.25">
      <c r="A4660" t="str">
        <f>T("   731822")</f>
        <v xml:space="preserve">   731822</v>
      </c>
      <c r="B4660" t="str">
        <f>T("   Rondelles en fonte, fer ou acier (sauf rondelles destinées à faire ressort et autres rondelles de blocage)")</f>
        <v xml:space="preserve">   Rondelles en fonte, fer ou acier (sauf rondelles destinées à faire ressort et autres rondelles de blocage)</v>
      </c>
      <c r="C4660">
        <v>5163815</v>
      </c>
      <c r="D4660">
        <v>459.6</v>
      </c>
    </row>
    <row r="4661" spans="1:4" x14ac:dyDescent="0.25">
      <c r="A4661" t="str">
        <f>T("   731823")</f>
        <v xml:space="preserve">   731823</v>
      </c>
      <c r="B4661" t="str">
        <f>T("   Rivets en fonte, fer ou acier (autres que rivets tubulaires ou rivets à deux pièces tubulaires destinés à des usages divers)")</f>
        <v xml:space="preserve">   Rivets en fonte, fer ou acier (autres que rivets tubulaires ou rivets à deux pièces tubulaires destinés à des usages divers)</v>
      </c>
      <c r="C4661">
        <v>93147</v>
      </c>
      <c r="D4661">
        <v>5</v>
      </c>
    </row>
    <row r="4662" spans="1:4" x14ac:dyDescent="0.25">
      <c r="A4662" t="str">
        <f>T("   731824")</f>
        <v xml:space="preserve">   731824</v>
      </c>
      <c r="B4662" t="str">
        <f>T("   Goupilles, chevilles et clavettes en fonte, fer ou acier")</f>
        <v xml:space="preserve">   Goupilles, chevilles et clavettes en fonte, fer ou acier</v>
      </c>
      <c r="C4662">
        <v>14579944</v>
      </c>
      <c r="D4662">
        <v>3870.6</v>
      </c>
    </row>
    <row r="4663" spans="1:4" x14ac:dyDescent="0.25">
      <c r="A4663" t="str">
        <f>T("   731829")</f>
        <v xml:space="preserve">   731829</v>
      </c>
      <c r="B4663" t="str">
        <f>T("   Articles de boulonnerie et de visserie non filetés, en fonte, fer ou acier, n.d.a.")</f>
        <v xml:space="preserve">   Articles de boulonnerie et de visserie non filetés, en fonte, fer ou acier, n.d.a.</v>
      </c>
      <c r="C4663">
        <v>4048023</v>
      </c>
      <c r="D4663">
        <v>248.6</v>
      </c>
    </row>
    <row r="4664" spans="1:4" x14ac:dyDescent="0.25">
      <c r="A4664" t="str">
        <f>T("   731920")</f>
        <v xml:space="preserve">   731920</v>
      </c>
      <c r="B4664" t="str">
        <f>T("   EPINGLES DE S¹RETÉ EN FER OU EN ACIER")</f>
        <v xml:space="preserve">   EPINGLES DE S¹RETÉ EN FER OU EN ACIER</v>
      </c>
      <c r="C4664">
        <v>311581</v>
      </c>
      <c r="D4664">
        <v>370</v>
      </c>
    </row>
    <row r="4665" spans="1:4" x14ac:dyDescent="0.25">
      <c r="A4665" t="str">
        <f>T("   732010")</f>
        <v xml:space="preserve">   732010</v>
      </c>
      <c r="B4665" t="str">
        <f>T("   RESSORTS À LAMES ET LEURS LAMES, EN FER OU EN ACIER (À L'EXCL. DES RESSORTS DE MONTRES ET DES RESSORTS À BARRE DE TORSION DE LA SECTION 17)")</f>
        <v xml:space="preserve">   RESSORTS À LAMES ET LEURS LAMES, EN FER OU EN ACIER (À L'EXCL. DES RESSORTS DE MONTRES ET DES RESSORTS À BARRE DE TORSION DE LA SECTION 17)</v>
      </c>
      <c r="C4665">
        <v>5493768</v>
      </c>
      <c r="D4665">
        <v>12993</v>
      </c>
    </row>
    <row r="4666" spans="1:4" x14ac:dyDescent="0.25">
      <c r="A4666" t="str">
        <f>T("   732090")</f>
        <v xml:space="preserve">   732090</v>
      </c>
      <c r="B4666" t="s">
        <v>355</v>
      </c>
      <c r="C4666">
        <v>17914455</v>
      </c>
      <c r="D4666">
        <v>8171.25</v>
      </c>
    </row>
    <row r="4667" spans="1:4" x14ac:dyDescent="0.25">
      <c r="A4667" t="str">
        <f>T("   732111")</f>
        <v xml:space="preserve">   732111</v>
      </c>
      <c r="B4667" t="s">
        <v>356</v>
      </c>
      <c r="C4667">
        <v>5383640</v>
      </c>
      <c r="D4667">
        <v>4325</v>
      </c>
    </row>
    <row r="4668" spans="1:4" x14ac:dyDescent="0.25">
      <c r="A4668" t="str">
        <f>T("   732112")</f>
        <v xml:space="preserve">   732112</v>
      </c>
      <c r="B4668" t="s">
        <v>357</v>
      </c>
      <c r="C4668">
        <v>163990</v>
      </c>
      <c r="D4668">
        <v>250</v>
      </c>
    </row>
    <row r="4669" spans="1:4" x14ac:dyDescent="0.25">
      <c r="A4669" t="str">
        <f>T("   732181")</f>
        <v xml:space="preserve">   732181</v>
      </c>
      <c r="B4669" t="s">
        <v>358</v>
      </c>
      <c r="C4669">
        <v>539560</v>
      </c>
      <c r="D4669">
        <v>1129</v>
      </c>
    </row>
    <row r="4670" spans="1:4" x14ac:dyDescent="0.25">
      <c r="A4670" t="str">
        <f>T("   732310")</f>
        <v xml:space="preserve">   732310</v>
      </c>
      <c r="B4670"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4670">
        <v>25313</v>
      </c>
      <c r="D4670">
        <v>9</v>
      </c>
    </row>
    <row r="4671" spans="1:4" x14ac:dyDescent="0.25">
      <c r="A4671" t="str">
        <f>T("   732393")</f>
        <v xml:space="preserve">   732393</v>
      </c>
      <c r="B4671" t="s">
        <v>361</v>
      </c>
      <c r="C4671">
        <v>21621680</v>
      </c>
      <c r="D4671">
        <v>4900</v>
      </c>
    </row>
    <row r="4672" spans="1:4" x14ac:dyDescent="0.25">
      <c r="A4672" t="str">
        <f>T("   732394")</f>
        <v xml:space="preserve">   732394</v>
      </c>
      <c r="B4672" t="s">
        <v>362</v>
      </c>
      <c r="C4672">
        <v>13018977</v>
      </c>
      <c r="D4672">
        <v>11678</v>
      </c>
    </row>
    <row r="4673" spans="1:4" x14ac:dyDescent="0.25">
      <c r="A4673" t="str">
        <f>T("   732399")</f>
        <v xml:space="preserve">   732399</v>
      </c>
      <c r="B4673" t="s">
        <v>363</v>
      </c>
      <c r="C4673">
        <v>64271075</v>
      </c>
      <c r="D4673">
        <v>37451</v>
      </c>
    </row>
    <row r="4674" spans="1:4" x14ac:dyDescent="0.25">
      <c r="A4674" t="str">
        <f>T("   732410")</f>
        <v xml:space="preserve">   732410</v>
      </c>
      <c r="B4674" t="str">
        <f>T("   ÉVIERS ET LAVABOS EN ACIER INOXYDABLE")</f>
        <v xml:space="preserve">   ÉVIERS ET LAVABOS EN ACIER INOXYDABLE</v>
      </c>
      <c r="C4674">
        <v>236146</v>
      </c>
      <c r="D4674">
        <v>1764</v>
      </c>
    </row>
    <row r="4675" spans="1:4" x14ac:dyDescent="0.25">
      <c r="A4675" t="str">
        <f>T("   732429")</f>
        <v xml:space="preserve">   732429</v>
      </c>
      <c r="B4675" t="str">
        <f>T("   Baignoires en tôle d'acier")</f>
        <v xml:space="preserve">   Baignoires en tôle d'acier</v>
      </c>
      <c r="C4675">
        <v>1148587</v>
      </c>
      <c r="D4675">
        <v>58</v>
      </c>
    </row>
    <row r="4676" spans="1:4" x14ac:dyDescent="0.25">
      <c r="A4676" t="str">
        <f>T("   732490")</f>
        <v xml:space="preserve">   732490</v>
      </c>
      <c r="B4676" t="s">
        <v>364</v>
      </c>
      <c r="C4676">
        <v>10866935</v>
      </c>
      <c r="D4676">
        <v>1538</v>
      </c>
    </row>
    <row r="4677" spans="1:4" x14ac:dyDescent="0.25">
      <c r="A4677" t="str">
        <f>T("   732599")</f>
        <v xml:space="preserve">   732599</v>
      </c>
      <c r="B4677"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4677">
        <v>17943871</v>
      </c>
      <c r="D4677">
        <v>4350</v>
      </c>
    </row>
    <row r="4678" spans="1:4" x14ac:dyDescent="0.25">
      <c r="A4678" t="str">
        <f>T("   732619")</f>
        <v xml:space="preserve">   732619</v>
      </c>
      <c r="B4678"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4678">
        <v>100000</v>
      </c>
      <c r="D4678">
        <v>15</v>
      </c>
    </row>
    <row r="4679" spans="1:4" x14ac:dyDescent="0.25">
      <c r="A4679" t="str">
        <f>T("   732620")</f>
        <v xml:space="preserve">   732620</v>
      </c>
      <c r="B4679" t="str">
        <f>T("   Ouvrages en fil de fer ou d'acier, n.d.a.")</f>
        <v xml:space="preserve">   Ouvrages en fil de fer ou d'acier, n.d.a.</v>
      </c>
      <c r="C4679">
        <v>58182996</v>
      </c>
      <c r="D4679">
        <v>73456</v>
      </c>
    </row>
    <row r="4680" spans="1:4" x14ac:dyDescent="0.25">
      <c r="A4680" t="str">
        <f>T("   732690")</f>
        <v xml:space="preserve">   732690</v>
      </c>
      <c r="B4680"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4680">
        <v>454287139</v>
      </c>
      <c r="D4680">
        <v>186963.14</v>
      </c>
    </row>
    <row r="4681" spans="1:4" x14ac:dyDescent="0.25">
      <c r="A4681" t="str">
        <f>T("   740620")</f>
        <v xml:space="preserve">   740620</v>
      </c>
      <c r="B4681" t="str">
        <f>T("   Poudres de cuivre à structure lamellaire; paillettes de cuivre (sauf granulés -grenailles- de cuivre et sauf paillettes découpées du n° 8308)")</f>
        <v xml:space="preserve">   Poudres de cuivre à structure lamellaire; paillettes de cuivre (sauf granulés -grenailles- de cuivre et sauf paillettes découpées du n° 8308)</v>
      </c>
      <c r="C4681">
        <v>867835</v>
      </c>
      <c r="D4681">
        <v>769</v>
      </c>
    </row>
    <row r="4682" spans="1:4" x14ac:dyDescent="0.25">
      <c r="A4682" t="str">
        <f>T("   740710")</f>
        <v xml:space="preserve">   740710</v>
      </c>
      <c r="B4682" t="str">
        <f>T("   Barres et profilés en cuivre affiné, n.d.a.")</f>
        <v xml:space="preserve">   Barres et profilés en cuivre affiné, n.d.a.</v>
      </c>
      <c r="C4682">
        <v>111513</v>
      </c>
      <c r="D4682">
        <v>2</v>
      </c>
    </row>
    <row r="4683" spans="1:4" x14ac:dyDescent="0.25">
      <c r="A4683" t="str">
        <f>T("   740819")</f>
        <v xml:space="preserve">   740819</v>
      </c>
      <c r="B4683" t="str">
        <f>T("   Fils de cuivre affiné, plus grande dimension de la section transversale &lt;= 6 mm")</f>
        <v xml:space="preserve">   Fils de cuivre affiné, plus grande dimension de la section transversale &lt;= 6 mm</v>
      </c>
      <c r="C4683">
        <v>2105631</v>
      </c>
      <c r="D4683">
        <v>76</v>
      </c>
    </row>
    <row r="4684" spans="1:4" x14ac:dyDescent="0.25">
      <c r="A4684" t="str">
        <f>T("   740829")</f>
        <v xml:space="preserve">   740829</v>
      </c>
      <c r="B4684" t="s">
        <v>365</v>
      </c>
      <c r="C4684">
        <v>414888</v>
      </c>
      <c r="D4684">
        <v>1200</v>
      </c>
    </row>
    <row r="4685" spans="1:4" x14ac:dyDescent="0.25">
      <c r="A4685" t="str">
        <f>T("   740911")</f>
        <v xml:space="preserve">   740911</v>
      </c>
      <c r="B4685" t="str">
        <f>T("   Tôles et bandes en cuivre affiné, épaisseur &gt; 0,15 mm, enroulées (sauf tôles et bandes déployées ainsi que bandes isolées pour l'électricité)")</f>
        <v xml:space="preserve">   Tôles et bandes en cuivre affiné, épaisseur &gt; 0,15 mm, enroulées (sauf tôles et bandes déployées ainsi que bandes isolées pour l'électricité)</v>
      </c>
      <c r="C4685">
        <v>34766</v>
      </c>
      <c r="D4685">
        <v>30</v>
      </c>
    </row>
    <row r="4686" spans="1:4" x14ac:dyDescent="0.25">
      <c r="A4686" t="str">
        <f>T("   741021")</f>
        <v xml:space="preserve">   741021</v>
      </c>
      <c r="B4686" t="s">
        <v>366</v>
      </c>
      <c r="C4686">
        <v>2090866</v>
      </c>
      <c r="D4686">
        <v>98</v>
      </c>
    </row>
    <row r="4687" spans="1:4" x14ac:dyDescent="0.25">
      <c r="A4687" t="str">
        <f>T("   741110")</f>
        <v xml:space="preserve">   741110</v>
      </c>
      <c r="B4687" t="str">
        <f>T("   Tubes et tuyaux en cuivre affiné")</f>
        <v xml:space="preserve">   Tubes et tuyaux en cuivre affiné</v>
      </c>
      <c r="C4687">
        <v>1383822</v>
      </c>
      <c r="D4687">
        <v>1705</v>
      </c>
    </row>
    <row r="4688" spans="1:4" x14ac:dyDescent="0.25">
      <c r="A4688" t="str">
        <f>T("   741210")</f>
        <v xml:space="preserve">   741210</v>
      </c>
      <c r="B4688" t="str">
        <f>T("   Accessoires de tuyauterie -raccords, coudes, manchons, par exemple-, en cuivre affiné")</f>
        <v xml:space="preserve">   Accessoires de tuyauterie -raccords, coudes, manchons, par exemple-, en cuivre affiné</v>
      </c>
      <c r="C4688">
        <v>3492233</v>
      </c>
      <c r="D4688">
        <v>1024</v>
      </c>
    </row>
    <row r="4689" spans="1:4" x14ac:dyDescent="0.25">
      <c r="A4689" t="str">
        <f>T("   741220")</f>
        <v xml:space="preserve">   741220</v>
      </c>
      <c r="B4689" t="str">
        <f>T("   Accessoires de tuyauterie -raccords, coudes, manchons, par exemple-, en alliages de cuivre")</f>
        <v xml:space="preserve">   Accessoires de tuyauterie -raccords, coudes, manchons, par exemple-, en alliages de cuivre</v>
      </c>
      <c r="C4689">
        <v>16141930</v>
      </c>
      <c r="D4689">
        <v>2422</v>
      </c>
    </row>
    <row r="4690" spans="1:4" x14ac:dyDescent="0.25">
      <c r="A4690" t="str">
        <f>T("   741300")</f>
        <v xml:space="preserve">   741300</v>
      </c>
      <c r="B4690" t="str">
        <f>T("   Torons, câbles, tresses et articles simil., en cuivre (sauf produits isolés pour l'électricité)")</f>
        <v xml:space="preserve">   Torons, câbles, tresses et articles simil., en cuivre (sauf produits isolés pour l'électricité)</v>
      </c>
      <c r="C4690">
        <v>10495359</v>
      </c>
      <c r="D4690">
        <v>1835</v>
      </c>
    </row>
    <row r="4691" spans="1:4" x14ac:dyDescent="0.25">
      <c r="A4691" t="str">
        <f>T("   741819")</f>
        <v xml:space="preserve">   741819</v>
      </c>
      <c r="B4691" t="s">
        <v>367</v>
      </c>
      <c r="C4691">
        <v>223026</v>
      </c>
      <c r="D4691">
        <v>1000</v>
      </c>
    </row>
    <row r="4692" spans="1:4" x14ac:dyDescent="0.25">
      <c r="A4692" t="str">
        <f>T("   741999")</f>
        <v xml:space="preserve">   741999</v>
      </c>
      <c r="B4692" t="str">
        <f>T("   Ouvrages en cuivre, n.d.a.")</f>
        <v xml:space="preserve">   Ouvrages en cuivre, n.d.a.</v>
      </c>
      <c r="C4692">
        <v>1512527</v>
      </c>
      <c r="D4692">
        <v>1393</v>
      </c>
    </row>
    <row r="4693" spans="1:4" x14ac:dyDescent="0.25">
      <c r="A4693" t="str">
        <f>T("   760410")</f>
        <v xml:space="preserve">   760410</v>
      </c>
      <c r="B4693" t="str">
        <f>T("   BARRES ET PROFILÉS EN ALUMINIUM NON-ALLIÉ, N.D.A.")</f>
        <v xml:space="preserve">   BARRES ET PROFILÉS EN ALUMINIUM NON-ALLIÉ, N.D.A.</v>
      </c>
      <c r="C4693">
        <v>1144650</v>
      </c>
      <c r="D4693">
        <v>6837</v>
      </c>
    </row>
    <row r="4694" spans="1:4" x14ac:dyDescent="0.25">
      <c r="A4694" t="str">
        <f>T("   760429")</f>
        <v xml:space="preserve">   760429</v>
      </c>
      <c r="B4694" t="str">
        <f>T("   Barres et profilés pleins en alliages d'aluminium, n.d.a.")</f>
        <v xml:space="preserve">   Barres et profilés pleins en alliages d'aluminium, n.d.a.</v>
      </c>
      <c r="C4694">
        <v>3125629</v>
      </c>
      <c r="D4694">
        <v>5122</v>
      </c>
    </row>
    <row r="4695" spans="1:4" x14ac:dyDescent="0.25">
      <c r="A4695" t="str">
        <f>T("   760519")</f>
        <v xml:space="preserve">   760519</v>
      </c>
      <c r="B4695" t="s">
        <v>369</v>
      </c>
      <c r="C4695">
        <v>295182</v>
      </c>
      <c r="D4695">
        <v>1200</v>
      </c>
    </row>
    <row r="4696" spans="1:4" x14ac:dyDescent="0.25">
      <c r="A4696" t="str">
        <f>T("   760529")</f>
        <v xml:space="preserve">   760529</v>
      </c>
      <c r="B4696" t="s">
        <v>370</v>
      </c>
      <c r="C4696">
        <v>3544238</v>
      </c>
      <c r="D4696">
        <v>35069</v>
      </c>
    </row>
    <row r="4697" spans="1:4" x14ac:dyDescent="0.25">
      <c r="A4697" t="str">
        <f>T("   760692")</f>
        <v xml:space="preserve">   760692</v>
      </c>
      <c r="B4697" t="str">
        <f>T("   Tôles et bandes en alliages d'aluminium, d'une épaisseur &gt; 0,2 mm, de forme autre que carrée ou rectangulaire")</f>
        <v xml:space="preserve">   Tôles et bandes en alliages d'aluminium, d'une épaisseur &gt; 0,2 mm, de forme autre que carrée ou rectangulaire</v>
      </c>
      <c r="C4697">
        <v>6871948</v>
      </c>
      <c r="D4697">
        <v>17300</v>
      </c>
    </row>
    <row r="4698" spans="1:4" x14ac:dyDescent="0.25">
      <c r="A4698" t="str">
        <f>T("   760719")</f>
        <v xml:space="preserve">   760719</v>
      </c>
      <c r="B4698"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4698">
        <v>76621129</v>
      </c>
      <c r="D4698">
        <v>5575</v>
      </c>
    </row>
    <row r="4699" spans="1:4" x14ac:dyDescent="0.25">
      <c r="A4699" t="str">
        <f>T("   760720")</f>
        <v xml:space="preserve">   760720</v>
      </c>
      <c r="B4699" t="str">
        <f>T("   Feuilles et bandes minces d'aluminium, sur support, d'une épaisseur, support non compris, &lt;= 0,2 mm (sauf feuilles pour le marquage au fer du n° 3212 et sauf feuilles travaillées pour la décoration des sapins de Noël)")</f>
        <v xml:space="preserve">   Feuilles et bandes minces d'aluminium, sur support, d'une épaisseur, support non compris, &lt;= 0,2 mm (sauf feuilles pour le marquage au fer du n° 3212 et sauf feuilles travaillées pour la décoration des sapins de Noël)</v>
      </c>
      <c r="C4699">
        <v>4142978</v>
      </c>
      <c r="D4699">
        <v>905</v>
      </c>
    </row>
    <row r="4700" spans="1:4" x14ac:dyDescent="0.25">
      <c r="A4700" t="str">
        <f>T("   760900")</f>
        <v xml:space="preserve">   760900</v>
      </c>
      <c r="B4700" t="str">
        <f>T("   Accessoires de tuyauterie, p.ex. raccords, coudes, manchons, en aluminium")</f>
        <v xml:space="preserve">   Accessoires de tuyauterie, p.ex. raccords, coudes, manchons, en aluminium</v>
      </c>
      <c r="C4700">
        <v>1342750</v>
      </c>
      <c r="D4700">
        <v>133</v>
      </c>
    </row>
    <row r="4701" spans="1:4" x14ac:dyDescent="0.25">
      <c r="A4701" t="str">
        <f>T("   761010")</f>
        <v xml:space="preserve">   761010</v>
      </c>
      <c r="B4701" t="str">
        <f>T("   Portes, fenêtres et leurs cadres, chambranles et seuils, en aluminium (sauf pièces de garnissage)")</f>
        <v xml:space="preserve">   Portes, fenêtres et leurs cadres, chambranles et seuils, en aluminium (sauf pièces de garnissage)</v>
      </c>
      <c r="C4701">
        <v>11711307</v>
      </c>
      <c r="D4701">
        <v>6633.5</v>
      </c>
    </row>
    <row r="4702" spans="1:4" x14ac:dyDescent="0.25">
      <c r="A4702" t="str">
        <f>T("   761090")</f>
        <v xml:space="preserve">   761090</v>
      </c>
      <c r="B4702"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4702">
        <v>18484461</v>
      </c>
      <c r="D4702">
        <v>18422</v>
      </c>
    </row>
    <row r="4703" spans="1:4" x14ac:dyDescent="0.25">
      <c r="A4703" t="str">
        <f>T("   761100")</f>
        <v xml:space="preserve">   761100</v>
      </c>
      <c r="B4703" t="s">
        <v>371</v>
      </c>
      <c r="C4703">
        <v>180000</v>
      </c>
      <c r="D4703">
        <v>200</v>
      </c>
    </row>
    <row r="4704" spans="1:4" x14ac:dyDescent="0.25">
      <c r="A4704" t="str">
        <f>T("   761210")</f>
        <v xml:space="preserve">   761210</v>
      </c>
      <c r="B4704" t="str">
        <f>T("   Etuis tubulaires souples en aluminium")</f>
        <v xml:space="preserve">   Etuis tubulaires souples en aluminium</v>
      </c>
      <c r="C4704">
        <v>1444063</v>
      </c>
      <c r="D4704">
        <v>15</v>
      </c>
    </row>
    <row r="4705" spans="1:4" x14ac:dyDescent="0.25">
      <c r="A4705" t="str">
        <f>T("   761290")</f>
        <v xml:space="preserve">   761290</v>
      </c>
      <c r="B4705" t="str">
        <f>T("   Réservoirs, fûts, tambours, bidons, boîtes et récipients simil., en aluminium, y.c. les étuis tubulaires rigides, pour toutes matières, sauf gaz comprimés ou liquéfiés, d'une contenance &lt;= 300 l, n.d.a.")</f>
        <v xml:space="preserve">   Réservoirs, fûts, tambours, bidons, boîtes et récipients simil., en aluminium, y.c. les étuis tubulaires rigides, pour toutes matières, sauf gaz comprimés ou liquéfiés, d'une contenance &lt;= 300 l, n.d.a.</v>
      </c>
      <c r="C4705">
        <v>131848</v>
      </c>
      <c r="D4705">
        <v>95</v>
      </c>
    </row>
    <row r="4706" spans="1:4" x14ac:dyDescent="0.25">
      <c r="A4706" t="str">
        <f>T("   761490")</f>
        <v xml:space="preserve">   761490</v>
      </c>
      <c r="B4706" t="s">
        <v>372</v>
      </c>
      <c r="C4706">
        <v>5928015</v>
      </c>
      <c r="D4706">
        <v>1105</v>
      </c>
    </row>
    <row r="4707" spans="1:4" x14ac:dyDescent="0.25">
      <c r="A4707" t="str">
        <f>T("   761519")</f>
        <v xml:space="preserve">   761519</v>
      </c>
      <c r="B4707" t="s">
        <v>373</v>
      </c>
      <c r="C4707">
        <v>46483626</v>
      </c>
      <c r="D4707">
        <v>9934</v>
      </c>
    </row>
    <row r="4708" spans="1:4" x14ac:dyDescent="0.25">
      <c r="A4708" t="str">
        <f>T("   761520")</f>
        <v xml:space="preserve">   761520</v>
      </c>
      <c r="B4708" t="str">
        <f>T("   Articles d'hygiène ou de toilette, et leurs parties, en aluminium (sauf bidons, boîtes et récipients simil. du n° 7612 et sauf accessoires de tuyauterie)")</f>
        <v xml:space="preserve">   Articles d'hygiène ou de toilette, et leurs parties, en aluminium (sauf bidons, boîtes et récipients simil. du n° 7612 et sauf accessoires de tuyauterie)</v>
      </c>
      <c r="C4708">
        <v>193206</v>
      </c>
      <c r="D4708">
        <v>43</v>
      </c>
    </row>
    <row r="4709" spans="1:4" x14ac:dyDescent="0.25">
      <c r="A4709" t="str">
        <f>T("   761610")</f>
        <v xml:space="preserve">   761610</v>
      </c>
      <c r="B4709" t="s">
        <v>374</v>
      </c>
      <c r="C4709">
        <v>675226</v>
      </c>
      <c r="D4709">
        <v>2003</v>
      </c>
    </row>
    <row r="4710" spans="1:4" x14ac:dyDescent="0.25">
      <c r="A4710" t="str">
        <f>T("   761699")</f>
        <v xml:space="preserve">   761699</v>
      </c>
      <c r="B4710" t="str">
        <f>T("   Ouvrages en aluminium, n.d.a.")</f>
        <v xml:space="preserve">   Ouvrages en aluminium, n.d.a.</v>
      </c>
      <c r="C4710">
        <v>72515910</v>
      </c>
      <c r="D4710">
        <v>9763</v>
      </c>
    </row>
    <row r="4711" spans="1:4" x14ac:dyDescent="0.25">
      <c r="A4711" t="str">
        <f>T("   790120")</f>
        <v xml:space="preserve">   790120</v>
      </c>
      <c r="B4711" t="str">
        <f>T("   ALLIAGES DE ZINC SOUS FORME BRUTE")</f>
        <v xml:space="preserve">   ALLIAGES DE ZINC SOUS FORME BRUTE</v>
      </c>
      <c r="C4711">
        <v>250000</v>
      </c>
      <c r="D4711">
        <v>300</v>
      </c>
    </row>
    <row r="4712" spans="1:4" x14ac:dyDescent="0.25">
      <c r="A4712" t="str">
        <f>T("   790700")</f>
        <v xml:space="preserve">   790700</v>
      </c>
      <c r="B4712" t="str">
        <f>T("   Ouvrages en zinc, n.d.a.")</f>
        <v xml:space="preserve">   Ouvrages en zinc, n.d.a.</v>
      </c>
      <c r="C4712">
        <v>1984408</v>
      </c>
      <c r="D4712">
        <v>2116</v>
      </c>
    </row>
    <row r="4713" spans="1:4" x14ac:dyDescent="0.25">
      <c r="A4713" t="str">
        <f>T("   800120")</f>
        <v xml:space="preserve">   800120</v>
      </c>
      <c r="B4713" t="str">
        <f>T("   Alliages d'étain sous forme brute")</f>
        <v xml:space="preserve">   Alliages d'étain sous forme brute</v>
      </c>
      <c r="C4713">
        <v>368978</v>
      </c>
      <c r="D4713">
        <v>783</v>
      </c>
    </row>
    <row r="4714" spans="1:4" x14ac:dyDescent="0.25">
      <c r="A4714" t="str">
        <f>T("   800300")</f>
        <v xml:space="preserve">   800300</v>
      </c>
      <c r="B4714" t="str">
        <f>T("   Barres, profilés et fils en étain, n.d.a.")</f>
        <v xml:space="preserve">   Barres, profilés et fils en étain, n.d.a.</v>
      </c>
      <c r="C4714">
        <v>829055</v>
      </c>
      <c r="D4714">
        <v>1060</v>
      </c>
    </row>
    <row r="4715" spans="1:4" x14ac:dyDescent="0.25">
      <c r="A4715" t="str">
        <f>T("   800700")</f>
        <v xml:space="preserve">   800700</v>
      </c>
      <c r="B4715" t="str">
        <f>T("   Ouvrages en étain, n.d.a.")</f>
        <v xml:space="preserve">   Ouvrages en étain, n.d.a.</v>
      </c>
      <c r="C4715">
        <v>1147930</v>
      </c>
      <c r="D4715">
        <v>2923.4</v>
      </c>
    </row>
    <row r="4716" spans="1:4" x14ac:dyDescent="0.25">
      <c r="A4716" t="str">
        <f>T("   810196")</f>
        <v xml:space="preserve">   810196</v>
      </c>
      <c r="B4716" t="str">
        <f>T("   Fils en tungstène [wolfram]")</f>
        <v xml:space="preserve">   Fils en tungstène [wolfram]</v>
      </c>
      <c r="C4716">
        <v>82611</v>
      </c>
      <c r="D4716">
        <v>5</v>
      </c>
    </row>
    <row r="4717" spans="1:4" x14ac:dyDescent="0.25">
      <c r="A4717" t="str">
        <f>T("   810520")</f>
        <v xml:space="preserve">   810520</v>
      </c>
      <c r="B4717" t="str">
        <f>T("   Mattes de cobalt et autres produits intermédiaires de la métallurgie du cobalt; cobalt sous forme brute; poudres de cobalt")</f>
        <v xml:space="preserve">   Mattes de cobalt et autres produits intermédiaires de la métallurgie du cobalt; cobalt sous forme brute; poudres de cobalt</v>
      </c>
      <c r="C4717">
        <v>1233983</v>
      </c>
      <c r="D4717">
        <v>260</v>
      </c>
    </row>
    <row r="4718" spans="1:4" x14ac:dyDescent="0.25">
      <c r="A4718" t="str">
        <f>T("   820130")</f>
        <v xml:space="preserve">   820130</v>
      </c>
      <c r="B4718" t="str">
        <f>T("   Pioches, pics, houes, binettes, râteaux et racloirs, avec partie travaillante en métaux communs (sauf piolets)")</f>
        <v xml:space="preserve">   Pioches, pics, houes, binettes, râteaux et racloirs, avec partie travaillante en métaux communs (sauf piolets)</v>
      </c>
      <c r="C4718">
        <v>244673</v>
      </c>
      <c r="D4718">
        <v>209</v>
      </c>
    </row>
    <row r="4719" spans="1:4" x14ac:dyDescent="0.25">
      <c r="A4719" t="str">
        <f>T("   820140")</f>
        <v xml:space="preserve">   820140</v>
      </c>
      <c r="B4719" t="str">
        <f>T("   Haches, serpes et outils simil. à taillants, avec partie travaillante en métaux communs")</f>
        <v xml:space="preserve">   Haches, serpes et outils simil. à taillants, avec partie travaillante en métaux communs</v>
      </c>
      <c r="C4719">
        <v>527510</v>
      </c>
      <c r="D4719">
        <v>894</v>
      </c>
    </row>
    <row r="4720" spans="1:4" x14ac:dyDescent="0.25">
      <c r="A4720" t="str">
        <f>T("   820190")</f>
        <v xml:space="preserve">   820190</v>
      </c>
      <c r="B4720" t="s">
        <v>375</v>
      </c>
      <c r="C4720">
        <v>11654939</v>
      </c>
      <c r="D4720">
        <v>5797</v>
      </c>
    </row>
    <row r="4721" spans="1:4" x14ac:dyDescent="0.25">
      <c r="A4721" t="str">
        <f>T("   820210")</f>
        <v xml:space="preserve">   820210</v>
      </c>
      <c r="B4721" t="str">
        <f>T("   Scies à main, avec partie travaillante en métaux communs (à l'excl. des tronçonneuses)")</f>
        <v xml:space="preserve">   Scies à main, avec partie travaillante en métaux communs (à l'excl. des tronçonneuses)</v>
      </c>
      <c r="C4721">
        <v>128568</v>
      </c>
      <c r="D4721">
        <v>41</v>
      </c>
    </row>
    <row r="4722" spans="1:4" x14ac:dyDescent="0.25">
      <c r="A4722" t="str">
        <f>T("   820220")</f>
        <v xml:space="preserve">   820220</v>
      </c>
      <c r="B4722" t="str">
        <f>T("   Lames de scies à ruban en métaux communs")</f>
        <v xml:space="preserve">   Lames de scies à ruban en métaux communs</v>
      </c>
      <c r="C4722">
        <v>6246815</v>
      </c>
      <c r="D4722">
        <v>674</v>
      </c>
    </row>
    <row r="4723" spans="1:4" x14ac:dyDescent="0.25">
      <c r="A4723" t="str">
        <f>T("   820299")</f>
        <v xml:space="preserve">   820299</v>
      </c>
      <c r="B4723" t="s">
        <v>376</v>
      </c>
      <c r="C4723">
        <v>8646591</v>
      </c>
      <c r="D4723">
        <v>797</v>
      </c>
    </row>
    <row r="4724" spans="1:4" x14ac:dyDescent="0.25">
      <c r="A4724" t="str">
        <f>T("   820310")</f>
        <v xml:space="preserve">   820310</v>
      </c>
      <c r="B4724" t="str">
        <f>T("   Limes, râpes et outils simil. à main, en métaux communs")</f>
        <v xml:space="preserve">   Limes, râpes et outils simil. à main, en métaux communs</v>
      </c>
      <c r="C4724">
        <v>512147</v>
      </c>
      <c r="D4724">
        <v>209</v>
      </c>
    </row>
    <row r="4725" spans="1:4" x14ac:dyDescent="0.25">
      <c r="A4725" t="str">
        <f>T("   820320")</f>
        <v xml:space="preserve">   820320</v>
      </c>
      <c r="B4725" t="str">
        <f>T("   PINCES -MÊME COUPANTES-, TENAILLES, BRUCELLES À USAGE NON-MÉDICAL ET OUTILS SIMIL. À MAIN, EN MÉTAUX COMMUNS")</f>
        <v xml:space="preserve">   PINCES -MÊME COUPANTES-, TENAILLES, BRUCELLES À USAGE NON-MÉDICAL ET OUTILS SIMIL. À MAIN, EN MÉTAUX COMMUNS</v>
      </c>
      <c r="C4725">
        <v>17448615</v>
      </c>
      <c r="D4725">
        <v>2066</v>
      </c>
    </row>
    <row r="4726" spans="1:4" x14ac:dyDescent="0.25">
      <c r="A4726" t="str">
        <f>T("   820340")</f>
        <v xml:space="preserve">   820340</v>
      </c>
      <c r="B4726" t="str">
        <f>T("   Coupe-tubes, coupe-boulons, emporte-pièce et outils simil., à main, en métaux communs")</f>
        <v xml:space="preserve">   Coupe-tubes, coupe-boulons, emporte-pièce et outils simil., à main, en métaux communs</v>
      </c>
      <c r="C4726">
        <v>4466975</v>
      </c>
      <c r="D4726">
        <v>837</v>
      </c>
    </row>
    <row r="4727" spans="1:4" x14ac:dyDescent="0.25">
      <c r="A4727" t="str">
        <f>T("   820411")</f>
        <v xml:space="preserve">   820411</v>
      </c>
      <c r="B4727" t="str">
        <f>T("   Clés de serrage à main, y.c. -les clés dynamométriques-, en métaux communs, à ouverture fixe")</f>
        <v xml:space="preserve">   Clés de serrage à main, y.c. -les clés dynamométriques-, en métaux communs, à ouverture fixe</v>
      </c>
      <c r="C4727">
        <v>5135428</v>
      </c>
      <c r="D4727">
        <v>785</v>
      </c>
    </row>
    <row r="4728" spans="1:4" x14ac:dyDescent="0.25">
      <c r="A4728" t="str">
        <f>T("   820412")</f>
        <v xml:space="preserve">   820412</v>
      </c>
      <c r="B4728" t="str">
        <f>T("   Clés de serrage à main, y.c. -les clés dynamométriques-, en métaux communs, à ouverture variable")</f>
        <v xml:space="preserve">   Clés de serrage à main, y.c. -les clés dynamométriques-, en métaux communs, à ouverture variable</v>
      </c>
      <c r="C4728">
        <v>7331870</v>
      </c>
      <c r="D4728">
        <v>636</v>
      </c>
    </row>
    <row r="4729" spans="1:4" x14ac:dyDescent="0.25">
      <c r="A4729" t="str">
        <f>T("   820420")</f>
        <v xml:space="preserve">   820420</v>
      </c>
      <c r="B4729" t="str">
        <f>T("   Douilles de serrage interchangeables, même avec manches, en métaux communs")</f>
        <v xml:space="preserve">   Douilles de serrage interchangeables, même avec manches, en métaux communs</v>
      </c>
      <c r="C4729">
        <v>6689567</v>
      </c>
      <c r="D4729">
        <v>370</v>
      </c>
    </row>
    <row r="4730" spans="1:4" x14ac:dyDescent="0.25">
      <c r="A4730" t="str">
        <f>T("   820510")</f>
        <v xml:space="preserve">   820510</v>
      </c>
      <c r="B4730" t="str">
        <f>T("   Outils de perçage, de filetage ou de taraudage, maniés à la main")</f>
        <v xml:space="preserve">   Outils de perçage, de filetage ou de taraudage, maniés à la main</v>
      </c>
      <c r="C4730">
        <v>674553</v>
      </c>
      <c r="D4730">
        <v>291</v>
      </c>
    </row>
    <row r="4731" spans="1:4" x14ac:dyDescent="0.25">
      <c r="A4731" t="str">
        <f>T("   820520")</f>
        <v xml:space="preserve">   820520</v>
      </c>
      <c r="B4731" t="str">
        <f>T("   Marteaux et masses, avec partie travaillante en métaux communs")</f>
        <v xml:space="preserve">   Marteaux et masses, avec partie travaillante en métaux communs</v>
      </c>
      <c r="C4731">
        <v>5749489</v>
      </c>
      <c r="D4731">
        <v>2489</v>
      </c>
    </row>
    <row r="4732" spans="1:4" x14ac:dyDescent="0.25">
      <c r="A4732" t="str">
        <f>T("   820540")</f>
        <v xml:space="preserve">   820540</v>
      </c>
      <c r="B4732" t="str">
        <f>T("   Tournevis à main")</f>
        <v xml:space="preserve">   Tournevis à main</v>
      </c>
      <c r="C4732">
        <v>7234780</v>
      </c>
      <c r="D4732">
        <v>478</v>
      </c>
    </row>
    <row r="4733" spans="1:4" x14ac:dyDescent="0.25">
      <c r="A4733" t="str">
        <f>T("   820551")</f>
        <v xml:space="preserve">   820551</v>
      </c>
      <c r="B4733" t="str">
        <f>T("   Outils à main d'économie domestique, non mécaniques, avec partie travaillante en métaux communs, n.d.a.")</f>
        <v xml:space="preserve">   Outils à main d'économie domestique, non mécaniques, avec partie travaillante en métaux communs, n.d.a.</v>
      </c>
      <c r="C4733">
        <v>44296654</v>
      </c>
      <c r="D4733">
        <v>8945</v>
      </c>
    </row>
    <row r="4734" spans="1:4" x14ac:dyDescent="0.25">
      <c r="A4734" t="str">
        <f>T("   820559")</f>
        <v xml:space="preserve">   820559</v>
      </c>
      <c r="B4734" t="str">
        <f>T("   Outils à main, y.c. -les diamants de vitrier-, en métaux communs, n.d.a.")</f>
        <v xml:space="preserve">   Outils à main, y.c. -les diamants de vitrier-, en métaux communs, n.d.a.</v>
      </c>
      <c r="C4734">
        <v>78736728</v>
      </c>
      <c r="D4734">
        <v>33113</v>
      </c>
    </row>
    <row r="4735" spans="1:4" x14ac:dyDescent="0.25">
      <c r="A4735" t="str">
        <f>T("   820570")</f>
        <v xml:space="preserve">   820570</v>
      </c>
      <c r="B4735" t="str">
        <f>T("   Etaux, serre-joints et simil. (autres que ceux constituant des accessoires ou des parties de machines-outils)")</f>
        <v xml:space="preserve">   Etaux, serre-joints et simil. (autres que ceux constituant des accessoires ou des parties de machines-outils)</v>
      </c>
      <c r="C4735">
        <v>3591361</v>
      </c>
      <c r="D4735">
        <v>863</v>
      </c>
    </row>
    <row r="4736" spans="1:4" x14ac:dyDescent="0.25">
      <c r="A4736" t="str">
        <f>T("   820580")</f>
        <v xml:space="preserve">   820580</v>
      </c>
      <c r="B4736" t="str">
        <f>T("   Enclumes; forges portatives; meules avec bâtis, à main ou à pédale")</f>
        <v xml:space="preserve">   Enclumes; forges portatives; meules avec bâtis, à main ou à pédale</v>
      </c>
      <c r="C4736">
        <v>937367</v>
      </c>
      <c r="D4736">
        <v>110</v>
      </c>
    </row>
    <row r="4737" spans="1:4" x14ac:dyDescent="0.25">
      <c r="A4737" t="str">
        <f>T("   820590")</f>
        <v xml:space="preserve">   820590</v>
      </c>
      <c r="B4737" t="str">
        <f>T("   Assortiments d'outils d'au moins deux des sous-positions du n° 8205")</f>
        <v xml:space="preserve">   Assortiments d'outils d'au moins deux des sous-positions du n° 8205</v>
      </c>
      <c r="C4737">
        <v>6277623</v>
      </c>
      <c r="D4737">
        <v>1642</v>
      </c>
    </row>
    <row r="4738" spans="1:4" x14ac:dyDescent="0.25">
      <c r="A4738" t="str">
        <f>T("   820600")</f>
        <v xml:space="preserve">   820600</v>
      </c>
      <c r="B4738" t="str">
        <f>T("   Outils d'au moins deux du n° 8202 à 8205, conditionnés en assortiments pour la vente au détail")</f>
        <v xml:space="preserve">   Outils d'au moins deux du n° 8202 à 8205, conditionnés en assortiments pour la vente au détail</v>
      </c>
      <c r="C4738">
        <v>8844675</v>
      </c>
      <c r="D4738">
        <v>797</v>
      </c>
    </row>
    <row r="4739" spans="1:4" x14ac:dyDescent="0.25">
      <c r="A4739" t="str">
        <f>T("   820713")</f>
        <v xml:space="preserve">   820713</v>
      </c>
      <c r="B4739" t="str">
        <f>T("   Outils de forage ou de sondage, interchangeables, avec partie travaillante en carbures métalliques frittés ou en cermets")</f>
        <v xml:space="preserve">   Outils de forage ou de sondage, interchangeables, avec partie travaillante en carbures métalliques frittés ou en cermets</v>
      </c>
      <c r="C4739">
        <v>3991516</v>
      </c>
      <c r="D4739">
        <v>351</v>
      </c>
    </row>
    <row r="4740" spans="1:4" x14ac:dyDescent="0.25">
      <c r="A4740" t="str">
        <f>T("   820719")</f>
        <v xml:space="preserve">   820719</v>
      </c>
      <c r="B4740"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4740">
        <v>8313658</v>
      </c>
      <c r="D4740">
        <v>1187.0999999999999</v>
      </c>
    </row>
    <row r="4741" spans="1:4" x14ac:dyDescent="0.25">
      <c r="A4741" t="str">
        <f>T("   820720")</f>
        <v xml:space="preserve">   820720</v>
      </c>
      <c r="B4741" t="str">
        <f>T("   Filières interchangeables pour l'étirage ou le filage -extrusion- des métaux")</f>
        <v xml:space="preserve">   Filières interchangeables pour l'étirage ou le filage -extrusion- des métaux</v>
      </c>
      <c r="C4741">
        <v>5646130</v>
      </c>
      <c r="D4741">
        <v>78</v>
      </c>
    </row>
    <row r="4742" spans="1:4" x14ac:dyDescent="0.25">
      <c r="A4742" t="str">
        <f>T("   820740")</f>
        <v xml:space="preserve">   820740</v>
      </c>
      <c r="B4742" t="str">
        <f>T("   Outils interchangeables à tarauder ou à fileter")</f>
        <v xml:space="preserve">   Outils interchangeables à tarauder ou à fileter</v>
      </c>
      <c r="C4742">
        <v>1290273</v>
      </c>
      <c r="D4742">
        <v>12</v>
      </c>
    </row>
    <row r="4743" spans="1:4" x14ac:dyDescent="0.25">
      <c r="A4743" t="str">
        <f>T("   820750")</f>
        <v xml:space="preserve">   820750</v>
      </c>
      <c r="B4743" t="str">
        <f>T("   OUTILS INTERCHANGEABLES À PERCER (À L'EXCL. DES OUTILS DE FORAGE OU DE SONDAGE ET DES OUTILS À TARAUDER) [01/01/1988-31/12/1993: OUTILS INTERCHANGEABLES (SAUF OUTILS DE FORAGE OU DE SONDAGE ET SAUF OUTILS A TARAUDER OU A FILETER)]")</f>
        <v xml:space="preserve">   OUTILS INTERCHANGEABLES À PERCER (À L'EXCL. DES OUTILS DE FORAGE OU DE SONDAGE ET DES OUTILS À TARAUDER) [01/01/1988-31/12/1993: OUTILS INTERCHANGEABLES (SAUF OUTILS DE FORAGE OU DE SONDAGE ET SAUF OUTILS A TARAUDER OU A FILETER)]</v>
      </c>
      <c r="C4743">
        <v>1555281</v>
      </c>
      <c r="D4743">
        <v>392</v>
      </c>
    </row>
    <row r="4744" spans="1:4" x14ac:dyDescent="0.25">
      <c r="A4744" t="str">
        <f>T("   820780")</f>
        <v xml:space="preserve">   820780</v>
      </c>
      <c r="B4744" t="str">
        <f>T("   Outils interchangeables à tourner")</f>
        <v xml:space="preserve">   Outils interchangeables à tourner</v>
      </c>
      <c r="C4744">
        <v>2853673</v>
      </c>
      <c r="D4744">
        <v>369</v>
      </c>
    </row>
    <row r="4745" spans="1:4" x14ac:dyDescent="0.25">
      <c r="A4745" t="str">
        <f>T("   820790")</f>
        <v xml:space="preserve">   820790</v>
      </c>
      <c r="B4745" t="str">
        <f>T("   Outils interchangeables pour outillage à main, mécanique ou non, ou pour machines-outils, n.d.a.")</f>
        <v xml:space="preserve">   Outils interchangeables pour outillage à main, mécanique ou non, ou pour machines-outils, n.d.a.</v>
      </c>
      <c r="C4745">
        <v>26100831</v>
      </c>
      <c r="D4745">
        <v>1364</v>
      </c>
    </row>
    <row r="4746" spans="1:4" x14ac:dyDescent="0.25">
      <c r="A4746" t="str">
        <f>T("   820890")</f>
        <v xml:space="preserve">   820890</v>
      </c>
      <c r="B4746" t="s">
        <v>377</v>
      </c>
      <c r="C4746">
        <v>5529848</v>
      </c>
      <c r="D4746">
        <v>363</v>
      </c>
    </row>
    <row r="4747" spans="1:4" x14ac:dyDescent="0.25">
      <c r="A4747" t="str">
        <f>T("   820900")</f>
        <v xml:space="preserve">   820900</v>
      </c>
      <c r="B4747" t="str">
        <f>T("   PLAQUETTES, BAGUETTES, POINTES ET OBJETS SIMIL. POUR OUTILS, NON-MONTÉS, CONSTITUÉS PAR DES CARBURES MÉTALLIQUES FRITTÉS OU DES CERMETS")</f>
        <v xml:space="preserve">   PLAQUETTES, BAGUETTES, POINTES ET OBJETS SIMIL. POUR OUTILS, NON-MONTÉS, CONSTITUÉS PAR DES CARBURES MÉTALLIQUES FRITTÉS OU DES CERMETS</v>
      </c>
      <c r="C4747">
        <v>114137</v>
      </c>
      <c r="D4747">
        <v>1</v>
      </c>
    </row>
    <row r="4748" spans="1:4" x14ac:dyDescent="0.25">
      <c r="A4748" t="str">
        <f>T("   821000")</f>
        <v xml:space="preserve">   821000</v>
      </c>
      <c r="B4748" t="s">
        <v>378</v>
      </c>
      <c r="C4748">
        <v>16087498</v>
      </c>
      <c r="D4748">
        <v>280</v>
      </c>
    </row>
    <row r="4749" spans="1:4" x14ac:dyDescent="0.25">
      <c r="A4749" t="str">
        <f>T("   821191")</f>
        <v xml:space="preserve">   821191</v>
      </c>
      <c r="B4749" t="str">
        <f>T("   Couteaux de table à lame fixe, en métaux communs, y.c. les manches (sauf couteaux à beurre et couteaux à poisson)")</f>
        <v xml:space="preserve">   Couteaux de table à lame fixe, en métaux communs, y.c. les manches (sauf couteaux à beurre et couteaux à poisson)</v>
      </c>
      <c r="C4749">
        <v>3744567</v>
      </c>
      <c r="D4749">
        <v>1314</v>
      </c>
    </row>
    <row r="4750" spans="1:4" x14ac:dyDescent="0.25">
      <c r="A4750" t="str">
        <f>T("   821192")</f>
        <v xml:space="preserve">   821192</v>
      </c>
      <c r="B4750" t="s">
        <v>379</v>
      </c>
      <c r="C4750">
        <v>3700271</v>
      </c>
      <c r="D4750">
        <v>961</v>
      </c>
    </row>
    <row r="4751" spans="1:4" x14ac:dyDescent="0.25">
      <c r="A4751" t="str">
        <f>T("   821193")</f>
        <v xml:space="preserve">   821193</v>
      </c>
      <c r="B4751" t="str">
        <f>T("   Couteaux à lame non fixe, y.c. les serpettes fermantes, en métaux communs (sauf rasoirs à lame)")</f>
        <v xml:space="preserve">   Couteaux à lame non fixe, y.c. les serpettes fermantes, en métaux communs (sauf rasoirs à lame)</v>
      </c>
      <c r="C4751">
        <v>1629667</v>
      </c>
      <c r="D4751">
        <v>14</v>
      </c>
    </row>
    <row r="4752" spans="1:4" x14ac:dyDescent="0.25">
      <c r="A4752" t="str">
        <f>T("   821210")</f>
        <v xml:space="preserve">   821210</v>
      </c>
      <c r="B4752" t="str">
        <f>T("   Rasoirs et rasoirs de sûreté non-électriques, en métaux communs")</f>
        <v xml:space="preserve">   Rasoirs et rasoirs de sûreté non-électriques, en métaux communs</v>
      </c>
      <c r="C4752">
        <v>10454114</v>
      </c>
      <c r="D4752">
        <v>2810</v>
      </c>
    </row>
    <row r="4753" spans="1:4" x14ac:dyDescent="0.25">
      <c r="A4753" t="str">
        <f>T("   821300")</f>
        <v xml:space="preserve">   821300</v>
      </c>
      <c r="B4753"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4753">
        <v>3950192</v>
      </c>
      <c r="D4753">
        <v>1614</v>
      </c>
    </row>
    <row r="4754" spans="1:4" x14ac:dyDescent="0.25">
      <c r="A4754" t="str">
        <f>T("   821420")</f>
        <v xml:space="preserve">   821420</v>
      </c>
      <c r="B4754" t="str">
        <f>T("   Outils et assortiments d'outils de manucure ou de pédicure, y.c. -les limes à ongles-, en métaux communs (sauf ciseaux ordinaires)")</f>
        <v xml:space="preserve">   Outils et assortiments d'outils de manucure ou de pédicure, y.c. -les limes à ongles-, en métaux communs (sauf ciseaux ordinaires)</v>
      </c>
      <c r="C4754">
        <v>4545148</v>
      </c>
      <c r="D4754">
        <v>354</v>
      </c>
    </row>
    <row r="4755" spans="1:4" x14ac:dyDescent="0.25">
      <c r="A4755" t="str">
        <f>T("   821490")</f>
        <v xml:space="preserve">   821490</v>
      </c>
      <c r="B4755" t="str">
        <f>T("   Tondeuses de coiffeur et autres articles à couper, n.d.a., en métaux communs")</f>
        <v xml:space="preserve">   Tondeuses de coiffeur et autres articles à couper, n.d.a., en métaux communs</v>
      </c>
      <c r="C4755">
        <v>4127300</v>
      </c>
      <c r="D4755">
        <v>384</v>
      </c>
    </row>
    <row r="4756" spans="1:4" x14ac:dyDescent="0.25">
      <c r="A4756" t="str">
        <f>T("   821510")</f>
        <v xml:space="preserve">   821510</v>
      </c>
      <c r="B4756" t="str">
        <f>T("   Assortiments de cuillers, fourchettes et autres articles du n° n° 8215, même avec couteaux jusqu'à un nombre égal, en métaux communs, comprenant au moins une partie argentée, dorée ou platinée")</f>
        <v xml:space="preserve">   Assortiments de cuillers, fourchettes et autres articles du n° n° 8215, même avec couteaux jusqu'à un nombre égal, en métaux communs, comprenant au moins une partie argentée, dorée ou platinée</v>
      </c>
      <c r="C4756">
        <v>154807</v>
      </c>
      <c r="D4756">
        <v>2050</v>
      </c>
    </row>
    <row r="4757" spans="1:4" x14ac:dyDescent="0.25">
      <c r="A4757" t="str">
        <f>T("   821520")</f>
        <v xml:space="preserve">   821520</v>
      </c>
      <c r="B4757" t="str">
        <f>T("   ASSORTIMENTS COMPOSÉS D'UN OU PLUSIEURS COUTEAUX DU N° 8211 ET D'UN NOMBRE AU MOINS ÉGAL DE CUILLERS, FOURCHETTES OU AUTRES ARTICLES DU N° N° 8215, EN MÉTAUX COMMUNS, NE COMPRENANT AUCUNE PARTIE ARGENTÉE, DORÉE OU PLATINÉE")</f>
        <v xml:space="preserve">   ASSORTIMENTS COMPOSÉS D'UN OU PLUSIEURS COUTEAUX DU N° 8211 ET D'UN NOMBRE AU MOINS ÉGAL DE CUILLERS, FOURCHETTES OU AUTRES ARTICLES DU N° N° 8215, EN MÉTAUX COMMUNS, NE COMPRENANT AUCUNE PARTIE ARGENTÉE, DORÉE OU PLATINÉE</v>
      </c>
      <c r="C4757">
        <v>3868195</v>
      </c>
      <c r="D4757">
        <v>1317</v>
      </c>
    </row>
    <row r="4758" spans="1:4" x14ac:dyDescent="0.25">
      <c r="A4758" t="str">
        <f>T("   821599")</f>
        <v xml:space="preserve">   821599</v>
      </c>
      <c r="B4758" t="s">
        <v>380</v>
      </c>
      <c r="C4758">
        <v>7687996</v>
      </c>
      <c r="D4758">
        <v>3124</v>
      </c>
    </row>
    <row r="4759" spans="1:4" x14ac:dyDescent="0.25">
      <c r="A4759" t="str">
        <f>T("   830110")</f>
        <v xml:space="preserve">   830110</v>
      </c>
      <c r="B4759" t="str">
        <f>T("   Cadenas, en métaux communs")</f>
        <v xml:space="preserve">   Cadenas, en métaux communs</v>
      </c>
      <c r="C4759">
        <v>38308909</v>
      </c>
      <c r="D4759">
        <v>3853.4</v>
      </c>
    </row>
    <row r="4760" spans="1:4" x14ac:dyDescent="0.25">
      <c r="A4760" t="str">
        <f>T("   830120")</f>
        <v xml:space="preserve">   830120</v>
      </c>
      <c r="B4760" t="str">
        <f>T("   Serrures des types utilisés pour véhicules automobiles, en métaux communs")</f>
        <v xml:space="preserve">   Serrures des types utilisés pour véhicules automobiles, en métaux communs</v>
      </c>
      <c r="C4760">
        <v>2811437</v>
      </c>
      <c r="D4760">
        <v>476</v>
      </c>
    </row>
    <row r="4761" spans="1:4" x14ac:dyDescent="0.25">
      <c r="A4761" t="str">
        <f>T("   830130")</f>
        <v xml:space="preserve">   830130</v>
      </c>
      <c r="B4761" t="str">
        <f>T("   Serrures des types utilisés pour meubles, en métaux communs")</f>
        <v xml:space="preserve">   Serrures des types utilisés pour meubles, en métaux communs</v>
      </c>
      <c r="C4761">
        <v>827703</v>
      </c>
      <c r="D4761">
        <v>21</v>
      </c>
    </row>
    <row r="4762" spans="1:4" x14ac:dyDescent="0.25">
      <c r="A4762" t="str">
        <f>T("   830140")</f>
        <v xml:space="preserve">   830140</v>
      </c>
      <c r="B4762"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4762">
        <v>63103332</v>
      </c>
      <c r="D4762">
        <v>8743.06</v>
      </c>
    </row>
    <row r="4763" spans="1:4" x14ac:dyDescent="0.25">
      <c r="A4763" t="str">
        <f>T("   830150")</f>
        <v xml:space="preserve">   830150</v>
      </c>
      <c r="B4763" t="str">
        <f>T("   Fermoirs et montures-fermoirs avec serrure, en métaux communs")</f>
        <v xml:space="preserve">   Fermoirs et montures-fermoirs avec serrure, en métaux communs</v>
      </c>
      <c r="C4763">
        <v>461507</v>
      </c>
      <c r="D4763">
        <v>22</v>
      </c>
    </row>
    <row r="4764" spans="1:4" x14ac:dyDescent="0.25">
      <c r="A4764" t="str">
        <f>T("   830160")</f>
        <v xml:space="preserve">   830160</v>
      </c>
      <c r="B4764" t="str">
        <f>T("   Parties des cadenas, serrures et verrous, ainsi que des fermoirs et montures-fermoirs, avec serrure, en métaux communs, n.d.a.")</f>
        <v xml:space="preserve">   Parties des cadenas, serrures et verrous, ainsi que des fermoirs et montures-fermoirs, avec serrure, en métaux communs, n.d.a.</v>
      </c>
      <c r="C4764">
        <v>62023721</v>
      </c>
      <c r="D4764">
        <v>6193.5</v>
      </c>
    </row>
    <row r="4765" spans="1:4" x14ac:dyDescent="0.25">
      <c r="A4765" t="str">
        <f>T("   830170")</f>
        <v xml:space="preserve">   830170</v>
      </c>
      <c r="B4765" t="str">
        <f>T("   Clefs présentées isolément, pour cadenas, serrures et verrous, ainsi que pour fermoirs et montures-fermoirs avec serrure, en métaux communs")</f>
        <v xml:space="preserve">   Clefs présentées isolément, pour cadenas, serrures et verrous, ainsi que pour fermoirs et montures-fermoirs avec serrure, en métaux communs</v>
      </c>
      <c r="C4765">
        <v>182358</v>
      </c>
      <c r="D4765">
        <v>33</v>
      </c>
    </row>
    <row r="4766" spans="1:4" x14ac:dyDescent="0.25">
      <c r="A4766" t="str">
        <f>T("   830210")</f>
        <v xml:space="preserve">   830210</v>
      </c>
      <c r="B4766" t="str">
        <f>T("   Charnières de tous genres, y.c. les paumelles et pentures, en métaux communs")</f>
        <v xml:space="preserve">   Charnières de tous genres, y.c. les paumelles et pentures, en métaux communs</v>
      </c>
      <c r="C4766">
        <v>8449408</v>
      </c>
      <c r="D4766">
        <v>1280</v>
      </c>
    </row>
    <row r="4767" spans="1:4" x14ac:dyDescent="0.25">
      <c r="A4767" t="str">
        <f>T("   830220")</f>
        <v xml:space="preserve">   830220</v>
      </c>
      <c r="B4767" t="str">
        <f>T("   Roulettes avec monture en métaux communs")</f>
        <v xml:space="preserve">   Roulettes avec monture en métaux communs</v>
      </c>
      <c r="C4767">
        <v>1597984</v>
      </c>
      <c r="D4767">
        <v>187</v>
      </c>
    </row>
    <row r="4768" spans="1:4" x14ac:dyDescent="0.25">
      <c r="A4768" t="str">
        <f>T("   830230")</f>
        <v xml:space="preserve">   830230</v>
      </c>
      <c r="B4768" t="str">
        <f>T("   Garnitures, ferrures et simil. en métaux communs, pour véhicules automobiles (sauf charnières et serrures)")</f>
        <v xml:space="preserve">   Garnitures, ferrures et simil. en métaux communs, pour véhicules automobiles (sauf charnières et serrures)</v>
      </c>
      <c r="C4768">
        <v>1510020</v>
      </c>
      <c r="D4768">
        <v>70</v>
      </c>
    </row>
    <row r="4769" spans="1:4" x14ac:dyDescent="0.25">
      <c r="A4769" t="str">
        <f>T("   830241")</f>
        <v xml:space="preserve">   830241</v>
      </c>
      <c r="B4769"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4769">
        <v>29786430</v>
      </c>
      <c r="D4769">
        <v>4140.6400000000003</v>
      </c>
    </row>
    <row r="4770" spans="1:4" x14ac:dyDescent="0.25">
      <c r="A4770" t="str">
        <f>T("   830242")</f>
        <v xml:space="preserve">   830242</v>
      </c>
      <c r="B4770" t="str">
        <f>T("   GARNITURES, FERRURES ET SIMIL., POUR MEUBLES, EN MÉTAUX COMMUNS (SAUF SERRURES ET VERROUS DE S¹RETÉ À CLEF ET SAUF CHARNIÈRES ET ROULETTES)")</f>
        <v xml:space="preserve">   GARNITURES, FERRURES ET SIMIL., POUR MEUBLES, EN MÉTAUX COMMUNS (SAUF SERRURES ET VERROUS DE S¹RETÉ À CLEF ET SAUF CHARNIÈRES ET ROULETTES)</v>
      </c>
      <c r="C4770">
        <v>7155871</v>
      </c>
      <c r="D4770">
        <v>1022</v>
      </c>
    </row>
    <row r="4771" spans="1:4" x14ac:dyDescent="0.25">
      <c r="A4771" t="str">
        <f>T("   830249")</f>
        <v xml:space="preserve">   830249</v>
      </c>
      <c r="B4771" t="s">
        <v>381</v>
      </c>
      <c r="C4771">
        <v>3027368</v>
      </c>
      <c r="D4771">
        <v>1996</v>
      </c>
    </row>
    <row r="4772" spans="1:4" x14ac:dyDescent="0.25">
      <c r="A4772" t="str">
        <f>T("   830250")</f>
        <v xml:space="preserve">   830250</v>
      </c>
      <c r="B4772" t="str">
        <f>T("   Patères, porte-chapeaux, supports et articles simil. en métaux communs")</f>
        <v xml:space="preserve">   Patères, porte-chapeaux, supports et articles simil. en métaux communs</v>
      </c>
      <c r="C4772">
        <v>20991</v>
      </c>
      <c r="D4772">
        <v>24</v>
      </c>
    </row>
    <row r="4773" spans="1:4" x14ac:dyDescent="0.25">
      <c r="A4773" t="str">
        <f>T("   830260")</f>
        <v xml:space="preserve">   830260</v>
      </c>
      <c r="B4773" t="str">
        <f>T("   Ferme-portes automatiques en métaux communs")</f>
        <v xml:space="preserve">   Ferme-portes automatiques en métaux communs</v>
      </c>
      <c r="C4773">
        <v>651585</v>
      </c>
      <c r="D4773">
        <v>13</v>
      </c>
    </row>
    <row r="4774" spans="1:4" x14ac:dyDescent="0.25">
      <c r="A4774" t="str">
        <f>T("   830300")</f>
        <v xml:space="preserve">   830300</v>
      </c>
      <c r="B4774"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4774">
        <v>62610898</v>
      </c>
      <c r="D4774">
        <v>27254</v>
      </c>
    </row>
    <row r="4775" spans="1:4" x14ac:dyDescent="0.25">
      <c r="A4775" t="str">
        <f>T("   830400")</f>
        <v xml:space="preserve">   830400</v>
      </c>
      <c r="B4775" t="str">
        <f>T("   Classeurs, fichiers, boîtes de classement, porte-copies, plumiers, porte-cachets et matériel et fournitures simil. de bureau, en métaux communs (à l'excl. des meubles de bureau du n° 9403 et des corbeilles à papier)")</f>
        <v xml:space="preserve">   Classeurs, fichiers, boîtes de classement, porte-copies, plumiers, porte-cachets et matériel et fournitures simil. de bureau, en métaux communs (à l'excl. des meubles de bureau du n° 9403 et des corbeilles à papier)</v>
      </c>
      <c r="C4775">
        <v>8877871</v>
      </c>
      <c r="D4775">
        <v>16541</v>
      </c>
    </row>
    <row r="4776" spans="1:4" x14ac:dyDescent="0.25">
      <c r="A4776" t="str">
        <f>T("   830520")</f>
        <v xml:space="preserve">   830520</v>
      </c>
      <c r="B4776" t="str">
        <f>T("   Agrafes présentées en barrettes, en métaux communs")</f>
        <v xml:space="preserve">   Agrafes présentées en barrettes, en métaux communs</v>
      </c>
      <c r="C4776">
        <v>971693</v>
      </c>
      <c r="D4776">
        <v>236</v>
      </c>
    </row>
    <row r="4777" spans="1:4" x14ac:dyDescent="0.25">
      <c r="A4777" t="str">
        <f>T("   830590")</f>
        <v xml:space="preserve">   830590</v>
      </c>
      <c r="B4777" t="s">
        <v>382</v>
      </c>
      <c r="C4777">
        <v>2834016</v>
      </c>
      <c r="D4777">
        <v>3718</v>
      </c>
    </row>
    <row r="4778" spans="1:4" x14ac:dyDescent="0.25">
      <c r="A4778" t="str">
        <f>T("   830629")</f>
        <v xml:space="preserve">   830629</v>
      </c>
      <c r="B4778" t="str">
        <f>T("   Statuettes et autres objets d'ornement, en métaux communs, ni argentés, ni dorés, ni platinés (sauf objets d'art, pièces de collection et antiquités)")</f>
        <v xml:space="preserve">   Statuettes et autres objets d'ornement, en métaux communs, ni argentés, ni dorés, ni platinés (sauf objets d'art, pièces de collection et antiquités)</v>
      </c>
      <c r="C4778">
        <v>1115788</v>
      </c>
      <c r="D4778">
        <v>595</v>
      </c>
    </row>
    <row r="4779" spans="1:4" x14ac:dyDescent="0.25">
      <c r="A4779" t="str">
        <f>T("   830630")</f>
        <v xml:space="preserve">   830630</v>
      </c>
      <c r="B4779" t="str">
        <f>T("   Cadres pour photographies, gravures ou simil., en métaux communs; miroirs, en métaux communs (sauf éléments optiques)")</f>
        <v xml:space="preserve">   Cadres pour photographies, gravures ou simil., en métaux communs; miroirs, en métaux communs (sauf éléments optiques)</v>
      </c>
      <c r="C4779">
        <v>16112346</v>
      </c>
      <c r="D4779">
        <v>5302</v>
      </c>
    </row>
    <row r="4780" spans="1:4" x14ac:dyDescent="0.25">
      <c r="A4780" t="str">
        <f>T("   830710")</f>
        <v xml:space="preserve">   830710</v>
      </c>
      <c r="B4780" t="str">
        <f>T("   Tuyaux flexibles en fer ou en acier, même avec accessoires")</f>
        <v xml:space="preserve">   Tuyaux flexibles en fer ou en acier, même avec accessoires</v>
      </c>
      <c r="C4780">
        <v>7801078</v>
      </c>
      <c r="D4780">
        <v>685</v>
      </c>
    </row>
    <row r="4781" spans="1:4" x14ac:dyDescent="0.25">
      <c r="A4781" t="str">
        <f>T("   830790")</f>
        <v xml:space="preserve">   830790</v>
      </c>
      <c r="B4781" t="str">
        <f>T("   Tuyaux flexibles en métaux communs autres que le fer ou l'acier, même avec accessoires")</f>
        <v xml:space="preserve">   Tuyaux flexibles en métaux communs autres que le fer ou l'acier, même avec accessoires</v>
      </c>
      <c r="C4781">
        <v>6391674</v>
      </c>
      <c r="D4781">
        <v>337</v>
      </c>
    </row>
    <row r="4782" spans="1:4" x14ac:dyDescent="0.25">
      <c r="A4782" t="str">
        <f>T("   830810")</f>
        <v xml:space="preserve">   830810</v>
      </c>
      <c r="B4782" t="str">
        <f>T("   Agrafes, crochets et oeillets, en métaux communs, pour vêtements, chaussures, bâches, maroquinerie, ou pour toutes confections ou équipements")</f>
        <v xml:space="preserve">   Agrafes, crochets et oeillets, en métaux communs, pour vêtements, chaussures, bâches, maroquinerie, ou pour toutes confections ou équipements</v>
      </c>
      <c r="C4782">
        <v>1405066</v>
      </c>
      <c r="D4782">
        <v>405</v>
      </c>
    </row>
    <row r="4783" spans="1:4" x14ac:dyDescent="0.25">
      <c r="A4783" t="str">
        <f>T("   830820")</f>
        <v xml:space="preserve">   830820</v>
      </c>
      <c r="B4783" t="str">
        <f>T("   Rivets tubulaires ou à tige fendue, en métaux communs")</f>
        <v xml:space="preserve">   Rivets tubulaires ou à tige fendue, en métaux communs</v>
      </c>
      <c r="C4783">
        <v>6560</v>
      </c>
      <c r="D4783">
        <v>1</v>
      </c>
    </row>
    <row r="4784" spans="1:4" x14ac:dyDescent="0.25">
      <c r="A4784" t="str">
        <f>T("   830910")</f>
        <v xml:space="preserve">   830910</v>
      </c>
      <c r="B4784" t="str">
        <f>T("   Bouchons-couronnes en métaux communs")</f>
        <v xml:space="preserve">   Bouchons-couronnes en métaux communs</v>
      </c>
      <c r="C4784">
        <v>1048380083</v>
      </c>
      <c r="D4784">
        <v>344899</v>
      </c>
    </row>
    <row r="4785" spans="1:4" x14ac:dyDescent="0.25">
      <c r="A4785" t="str">
        <f>T("   830990")</f>
        <v xml:space="preserve">   830990</v>
      </c>
      <c r="B4785"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4785">
        <v>1973784</v>
      </c>
      <c r="D4785">
        <v>1641</v>
      </c>
    </row>
    <row r="4786" spans="1:4" x14ac:dyDescent="0.25">
      <c r="A4786" t="str">
        <f>T("   831000")</f>
        <v xml:space="preserve">   831000</v>
      </c>
      <c r="B4786" t="s">
        <v>383</v>
      </c>
      <c r="C4786">
        <v>21905089</v>
      </c>
      <c r="D4786">
        <v>14665</v>
      </c>
    </row>
    <row r="4787" spans="1:4" x14ac:dyDescent="0.25">
      <c r="A4787" t="str">
        <f>T("   831110")</f>
        <v xml:space="preserve">   831110</v>
      </c>
      <c r="B4787" t="str">
        <f>T("   ÉLECTRODES ENROBÉES EN MÉTAUX COMMUNS, POUR LE SOUDAGE À L'ARC")</f>
        <v xml:space="preserve">   ÉLECTRODES ENROBÉES EN MÉTAUX COMMUNS, POUR LE SOUDAGE À L'ARC</v>
      </c>
      <c r="C4787">
        <v>37259855</v>
      </c>
      <c r="D4787">
        <v>7827</v>
      </c>
    </row>
    <row r="4788" spans="1:4" x14ac:dyDescent="0.25">
      <c r="A4788" t="str">
        <f>T("   831130")</f>
        <v xml:space="preserve">   831130</v>
      </c>
      <c r="B4788" t="s">
        <v>384</v>
      </c>
      <c r="C4788">
        <v>4330255</v>
      </c>
      <c r="D4788">
        <v>594.97</v>
      </c>
    </row>
    <row r="4789" spans="1:4" x14ac:dyDescent="0.25">
      <c r="A4789" t="str">
        <f>T("   831190")</f>
        <v xml:space="preserve">   831190</v>
      </c>
      <c r="B4789" t="s">
        <v>385</v>
      </c>
      <c r="C4789">
        <v>48001211</v>
      </c>
      <c r="D4789">
        <v>8503.15</v>
      </c>
    </row>
    <row r="4790" spans="1:4" x14ac:dyDescent="0.25">
      <c r="A4790" t="str">
        <f>T("   840290")</f>
        <v xml:space="preserve">   840290</v>
      </c>
      <c r="B4790" t="str">
        <f>T("   Parties de chaudières à vapeur et de chaudières dites -à eau surchauffée-, n.d.a.")</f>
        <v xml:space="preserve">   Parties de chaudières à vapeur et de chaudières dites -à eau surchauffée-, n.d.a.</v>
      </c>
      <c r="C4790">
        <v>13850596</v>
      </c>
      <c r="D4790">
        <v>1201</v>
      </c>
    </row>
    <row r="4791" spans="1:4" x14ac:dyDescent="0.25">
      <c r="A4791" t="str">
        <f>T("   840721")</f>
        <v xml:space="preserve">   840721</v>
      </c>
      <c r="B4791" t="s">
        <v>387</v>
      </c>
      <c r="C4791">
        <v>16588021</v>
      </c>
      <c r="D4791">
        <v>2037</v>
      </c>
    </row>
    <row r="4792" spans="1:4" x14ac:dyDescent="0.25">
      <c r="A4792" t="str">
        <f>T("   840729")</f>
        <v xml:space="preserve">   840729</v>
      </c>
      <c r="B4792" t="s">
        <v>388</v>
      </c>
      <c r="C4792">
        <v>636937</v>
      </c>
      <c r="D4792">
        <v>118</v>
      </c>
    </row>
    <row r="4793" spans="1:4" x14ac:dyDescent="0.25">
      <c r="A4793" t="str">
        <f>T("   840733")</f>
        <v xml:space="preserve">   840733</v>
      </c>
      <c r="B4793" t="s">
        <v>389</v>
      </c>
      <c r="C4793">
        <v>60000</v>
      </c>
      <c r="D4793">
        <v>250</v>
      </c>
    </row>
    <row r="4794" spans="1:4" x14ac:dyDescent="0.25">
      <c r="A4794" t="str">
        <f>T("   840734")</f>
        <v xml:space="preserve">   840734</v>
      </c>
      <c r="B4794" t="s">
        <v>390</v>
      </c>
      <c r="C4794">
        <v>5092000</v>
      </c>
      <c r="D4794">
        <v>7550</v>
      </c>
    </row>
    <row r="4795" spans="1:4" x14ac:dyDescent="0.25">
      <c r="A4795" t="str">
        <f>T("   840790")</f>
        <v xml:space="preserve">   840790</v>
      </c>
      <c r="B4795" t="s">
        <v>391</v>
      </c>
      <c r="C4795">
        <v>10829183</v>
      </c>
      <c r="D4795">
        <v>21652</v>
      </c>
    </row>
    <row r="4796" spans="1:4" x14ac:dyDescent="0.25">
      <c r="A4796" t="str">
        <f>T("   840810")</f>
        <v xml:space="preserve">   840810</v>
      </c>
      <c r="B4796" t="s">
        <v>392</v>
      </c>
      <c r="C4796">
        <v>655960</v>
      </c>
      <c r="D4796">
        <v>60</v>
      </c>
    </row>
    <row r="4797" spans="1:4" x14ac:dyDescent="0.25">
      <c r="A4797" t="str">
        <f>T("   840820")</f>
        <v xml:space="preserve">   840820</v>
      </c>
      <c r="B4797" t="s">
        <v>393</v>
      </c>
      <c r="C4797">
        <v>43083312</v>
      </c>
      <c r="D4797">
        <v>79046</v>
      </c>
    </row>
    <row r="4798" spans="1:4" x14ac:dyDescent="0.25">
      <c r="A4798" t="str">
        <f>T("   840890")</f>
        <v xml:space="preserve">   840890</v>
      </c>
      <c r="B4798" t="s">
        <v>394</v>
      </c>
      <c r="C4798">
        <v>46726347</v>
      </c>
      <c r="D4798">
        <v>21519</v>
      </c>
    </row>
    <row r="4799" spans="1:4" x14ac:dyDescent="0.25">
      <c r="A4799" t="str">
        <f>T("   840991")</f>
        <v xml:space="preserve">   840991</v>
      </c>
      <c r="B4799"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4799">
        <v>24836856</v>
      </c>
      <c r="D4799">
        <v>824</v>
      </c>
    </row>
    <row r="4800" spans="1:4" x14ac:dyDescent="0.25">
      <c r="A4800" t="str">
        <f>T("   840999")</f>
        <v xml:space="preserve">   840999</v>
      </c>
      <c r="B4800"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4800">
        <v>152195316</v>
      </c>
      <c r="D4800">
        <v>11500.65</v>
      </c>
    </row>
    <row r="4801" spans="1:4" x14ac:dyDescent="0.25">
      <c r="A4801" t="str">
        <f>T("   841221")</f>
        <v xml:space="preserve">   841221</v>
      </c>
      <c r="B4801" t="str">
        <f>T("   Moteurs hydrauliques à mouvement rectiligne -cylindres-")</f>
        <v xml:space="preserve">   Moteurs hydrauliques à mouvement rectiligne -cylindres-</v>
      </c>
      <c r="C4801">
        <v>3900338</v>
      </c>
      <c r="D4801">
        <v>100</v>
      </c>
    </row>
    <row r="4802" spans="1:4" x14ac:dyDescent="0.25">
      <c r="A4802" t="str">
        <f>T("   841229")</f>
        <v xml:space="preserve">   841229</v>
      </c>
      <c r="B4802" t="str">
        <f>T("   Moteurs hydrauliques (autres que turbines hydrauliques ou roues hydrauliques du n° 8410, turbines à vapeur et moteurs hydrauliques, à mouvement rectiligne -cylindres-)")</f>
        <v xml:space="preserve">   Moteurs hydrauliques (autres que turbines hydrauliques ou roues hydrauliques du n° 8410, turbines à vapeur et moteurs hydrauliques, à mouvement rectiligne -cylindres-)</v>
      </c>
      <c r="C4802">
        <v>2717642</v>
      </c>
      <c r="D4802">
        <v>88</v>
      </c>
    </row>
    <row r="4803" spans="1:4" x14ac:dyDescent="0.25">
      <c r="A4803" t="str">
        <f>T("   841231")</f>
        <v xml:space="preserve">   841231</v>
      </c>
      <c r="B4803" t="str">
        <f>T("   Moteurs pneumatiques, à mouvement rectiligne -cylindres-")</f>
        <v xml:space="preserve">   Moteurs pneumatiques, à mouvement rectiligne -cylindres-</v>
      </c>
      <c r="C4803">
        <v>4592376</v>
      </c>
      <c r="D4803">
        <v>64</v>
      </c>
    </row>
    <row r="4804" spans="1:4" x14ac:dyDescent="0.25">
      <c r="A4804" t="str">
        <f>T("   841239")</f>
        <v xml:space="preserve">   841239</v>
      </c>
      <c r="B4804" t="str">
        <f>T("   Moteurs pneumatiques (sauf moteurs pneumatiques à mouvement rectiligne -cylindres-)")</f>
        <v xml:space="preserve">   Moteurs pneumatiques (sauf moteurs pneumatiques à mouvement rectiligne -cylindres-)</v>
      </c>
      <c r="C4804">
        <v>4839016</v>
      </c>
      <c r="D4804">
        <v>237</v>
      </c>
    </row>
    <row r="4805" spans="1:4" x14ac:dyDescent="0.25">
      <c r="A4805" t="str">
        <f>T("   841280")</f>
        <v xml:space="preserve">   841280</v>
      </c>
      <c r="B4805" t="str">
        <f>T("   Moteurs et machines motrices (à l'excl. des turbines à vapeur, moteurs à piston, turbines hydrauliques, roues hydrauliques, turbines à gaz, moteurs à réaction, moteurs hydrauliques et oléohydrauliques, moteurs pneumatiques et sauf moteurs électriques)")</f>
        <v xml:space="preserve">   Moteurs et machines motrices (à l'excl. des turbines à vapeur, moteurs à piston, turbines hydrauliques, roues hydrauliques, turbines à gaz, moteurs à réaction, moteurs hydrauliques et oléohydrauliques, moteurs pneumatiques et sauf moteurs électriques)</v>
      </c>
      <c r="C4805">
        <v>624475</v>
      </c>
      <c r="D4805">
        <v>167</v>
      </c>
    </row>
    <row r="4806" spans="1:4" x14ac:dyDescent="0.25">
      <c r="A4806" t="str">
        <f>T("   841290")</f>
        <v xml:space="preserve">   841290</v>
      </c>
      <c r="B4806" t="str">
        <f>T("   PARTIES DE MOTEURS ET MACHINES MOTRICES NON-ÉLECTRIQUES, N.D.A.")</f>
        <v xml:space="preserve">   PARTIES DE MOTEURS ET MACHINES MOTRICES NON-ÉLECTRIQUES, N.D.A.</v>
      </c>
      <c r="C4806">
        <v>264280</v>
      </c>
      <c r="D4806">
        <v>50</v>
      </c>
    </row>
    <row r="4807" spans="1:4" x14ac:dyDescent="0.25">
      <c r="A4807" t="str">
        <f>T("   841319")</f>
        <v xml:space="preserve">   841319</v>
      </c>
      <c r="B4807"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4807">
        <v>1002212576</v>
      </c>
      <c r="D4807">
        <v>115347</v>
      </c>
    </row>
    <row r="4808" spans="1:4" x14ac:dyDescent="0.25">
      <c r="A4808" t="str">
        <f>T("   841320")</f>
        <v xml:space="preserve">   841320</v>
      </c>
      <c r="B4808"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4808">
        <v>546513</v>
      </c>
      <c r="D4808">
        <v>712</v>
      </c>
    </row>
    <row r="4809" spans="1:4" x14ac:dyDescent="0.25">
      <c r="A4809" t="str">
        <f>T("   841330")</f>
        <v xml:space="preserve">   841330</v>
      </c>
      <c r="B4809"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4809">
        <v>34245593</v>
      </c>
      <c r="D4809">
        <v>1406</v>
      </c>
    </row>
    <row r="4810" spans="1:4" x14ac:dyDescent="0.25">
      <c r="A4810" t="str">
        <f>T("   841340")</f>
        <v xml:space="preserve">   841340</v>
      </c>
      <c r="B4810" t="str">
        <f>T("   Pompes à béton")</f>
        <v xml:space="preserve">   Pompes à béton</v>
      </c>
      <c r="C4810">
        <v>135784</v>
      </c>
      <c r="D4810">
        <v>6</v>
      </c>
    </row>
    <row r="4811" spans="1:4" x14ac:dyDescent="0.25">
      <c r="A4811" t="str">
        <f>T("   841350")</f>
        <v xml:space="preserve">   841350</v>
      </c>
      <c r="B4811" t="s">
        <v>395</v>
      </c>
      <c r="C4811">
        <v>8897441</v>
      </c>
      <c r="D4811">
        <v>747</v>
      </c>
    </row>
    <row r="4812" spans="1:4" x14ac:dyDescent="0.25">
      <c r="A4812" t="str">
        <f>T("   841360")</f>
        <v xml:space="preserve">   841360</v>
      </c>
      <c r="B4812" t="s">
        <v>396</v>
      </c>
      <c r="C4812">
        <v>32119541</v>
      </c>
      <c r="D4812">
        <v>1650</v>
      </c>
    </row>
    <row r="4813" spans="1:4" x14ac:dyDescent="0.25">
      <c r="A4813" t="str">
        <f>T("   841370")</f>
        <v xml:space="preserve">   841370</v>
      </c>
      <c r="B4813" t="s">
        <v>397</v>
      </c>
      <c r="C4813">
        <v>179864896</v>
      </c>
      <c r="D4813">
        <v>18390.41</v>
      </c>
    </row>
    <row r="4814" spans="1:4" x14ac:dyDescent="0.25">
      <c r="A4814" t="str">
        <f>T("   841381")</f>
        <v xml:space="preserve">   841381</v>
      </c>
      <c r="B4814" t="s">
        <v>398</v>
      </c>
      <c r="C4814">
        <v>215204135</v>
      </c>
      <c r="D4814">
        <v>16949</v>
      </c>
    </row>
    <row r="4815" spans="1:4" x14ac:dyDescent="0.25">
      <c r="A4815" t="str">
        <f>T("   841382")</f>
        <v xml:space="preserve">   841382</v>
      </c>
      <c r="B4815" t="str">
        <f>T("   Elévateurs à liquides (à l'excl. des pompes)")</f>
        <v xml:space="preserve">   Elévateurs à liquides (à l'excl. des pompes)</v>
      </c>
      <c r="C4815">
        <v>14175190</v>
      </c>
      <c r="D4815">
        <v>1706.33</v>
      </c>
    </row>
    <row r="4816" spans="1:4" x14ac:dyDescent="0.25">
      <c r="A4816" t="str">
        <f>T("   841391")</f>
        <v xml:space="preserve">   841391</v>
      </c>
      <c r="B4816" t="str">
        <f>T("   Parties de pompes pour liquides, n.d.a.")</f>
        <v xml:space="preserve">   Parties de pompes pour liquides, n.d.a.</v>
      </c>
      <c r="C4816">
        <v>40271752</v>
      </c>
      <c r="D4816">
        <v>4202</v>
      </c>
    </row>
    <row r="4817" spans="1:4" x14ac:dyDescent="0.25">
      <c r="A4817" t="str">
        <f>T("   841410")</f>
        <v xml:space="preserve">   841410</v>
      </c>
      <c r="B4817" t="str">
        <f>T("   Pompes à vide")</f>
        <v xml:space="preserve">   Pompes à vide</v>
      </c>
      <c r="C4817">
        <v>18542676</v>
      </c>
      <c r="D4817">
        <v>673</v>
      </c>
    </row>
    <row r="4818" spans="1:4" x14ac:dyDescent="0.25">
      <c r="A4818" t="str">
        <f>T("   841420")</f>
        <v xml:space="preserve">   841420</v>
      </c>
      <c r="B4818" t="str">
        <f>T("   Pompes à air, à main ou à pied")</f>
        <v xml:space="preserve">   Pompes à air, à main ou à pied</v>
      </c>
      <c r="C4818">
        <v>1447049</v>
      </c>
      <c r="D4818">
        <v>476</v>
      </c>
    </row>
    <row r="4819" spans="1:4" x14ac:dyDescent="0.25">
      <c r="A4819" t="str">
        <f>T("   841430")</f>
        <v xml:space="preserve">   841430</v>
      </c>
      <c r="B4819" t="str">
        <f>T("   Compresseurs des types utilisés pour équipements frigorifiques")</f>
        <v xml:space="preserve">   Compresseurs des types utilisés pour équipements frigorifiques</v>
      </c>
      <c r="C4819">
        <v>26069616</v>
      </c>
      <c r="D4819">
        <v>4881</v>
      </c>
    </row>
    <row r="4820" spans="1:4" x14ac:dyDescent="0.25">
      <c r="A4820" t="str">
        <f>T("   841440")</f>
        <v xml:space="preserve">   841440</v>
      </c>
      <c r="B4820" t="str">
        <f>T("   Compresseurs d'air montés sur châssis à roues et remorquables")</f>
        <v xml:space="preserve">   Compresseurs d'air montés sur châssis à roues et remorquables</v>
      </c>
      <c r="C4820">
        <v>11720965</v>
      </c>
      <c r="D4820">
        <v>1856</v>
      </c>
    </row>
    <row r="4821" spans="1:4" x14ac:dyDescent="0.25">
      <c r="A4821" t="str">
        <f>T("   841451")</f>
        <v xml:space="preserve">   841451</v>
      </c>
      <c r="B4821"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4821">
        <v>1519203</v>
      </c>
      <c r="D4821">
        <v>538</v>
      </c>
    </row>
    <row r="4822" spans="1:4" x14ac:dyDescent="0.25">
      <c r="A4822" t="str">
        <f>T("   841459")</f>
        <v xml:space="preserve">   841459</v>
      </c>
      <c r="B4822"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4822">
        <v>42374840</v>
      </c>
      <c r="D4822">
        <v>5438</v>
      </c>
    </row>
    <row r="4823" spans="1:4" x14ac:dyDescent="0.25">
      <c r="A4823" t="str">
        <f>T("   841460")</f>
        <v xml:space="preserve">   841460</v>
      </c>
      <c r="B4823" t="str">
        <f>T("   Hottes aspirantes à extraction ou à recyclage par filtre, à ventilateur incorporé, plus grand côté horizontal &lt;= 120 cm")</f>
        <v xml:space="preserve">   Hottes aspirantes à extraction ou à recyclage par filtre, à ventilateur incorporé, plus grand côté horizontal &lt;= 120 cm</v>
      </c>
      <c r="C4823">
        <v>13090337</v>
      </c>
      <c r="D4823">
        <v>593</v>
      </c>
    </row>
    <row r="4824" spans="1:4" x14ac:dyDescent="0.25">
      <c r="A4824" t="str">
        <f>T("   841480")</f>
        <v xml:space="preserve">   841480</v>
      </c>
      <c r="B4824" t="s">
        <v>399</v>
      </c>
      <c r="C4824">
        <v>78473274</v>
      </c>
      <c r="D4824">
        <v>5634</v>
      </c>
    </row>
    <row r="4825" spans="1:4" x14ac:dyDescent="0.25">
      <c r="A4825" t="str">
        <f>T("   841490")</f>
        <v xml:space="preserve">   841490</v>
      </c>
      <c r="B4825"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4825">
        <v>49681047</v>
      </c>
      <c r="D4825">
        <v>2895</v>
      </c>
    </row>
    <row r="4826" spans="1:4" x14ac:dyDescent="0.25">
      <c r="A4826" t="str">
        <f>T("   841510")</f>
        <v xml:space="preserve">   841510</v>
      </c>
      <c r="B4826" t="s">
        <v>400</v>
      </c>
      <c r="C4826">
        <v>54914281</v>
      </c>
      <c r="D4826">
        <v>32894</v>
      </c>
    </row>
    <row r="4827" spans="1:4" x14ac:dyDescent="0.25">
      <c r="A4827" t="str">
        <f>T("   841520")</f>
        <v xml:space="preserve">   841520</v>
      </c>
      <c r="B4827" t="str">
        <f>T("   Machines et appareils pour le conditionnement de l'air du type de ceux utilisés pour le confort des personnes dans les véhicules automobiles")</f>
        <v xml:space="preserve">   Machines et appareils pour le conditionnement de l'air du type de ceux utilisés pour le confort des personnes dans les véhicules automobiles</v>
      </c>
      <c r="C4827">
        <v>739923</v>
      </c>
      <c r="D4827">
        <v>45</v>
      </c>
    </row>
    <row r="4828" spans="1:4" x14ac:dyDescent="0.25">
      <c r="A4828" t="str">
        <f>T("   841582")</f>
        <v xml:space="preserve">   841582</v>
      </c>
      <c r="B4828" t="s">
        <v>402</v>
      </c>
      <c r="C4828">
        <v>129610887</v>
      </c>
      <c r="D4828">
        <v>24638</v>
      </c>
    </row>
    <row r="4829" spans="1:4" x14ac:dyDescent="0.25">
      <c r="A4829" t="str">
        <f>T("   841590")</f>
        <v xml:space="preserve">   841590</v>
      </c>
      <c r="B4829"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4829">
        <v>54571148</v>
      </c>
      <c r="D4829">
        <v>7053</v>
      </c>
    </row>
    <row r="4830" spans="1:4" x14ac:dyDescent="0.25">
      <c r="A4830" t="str">
        <f>T("   841690")</f>
        <v xml:space="preserve">   841690</v>
      </c>
      <c r="B4830" t="str">
        <f>T("   PARTIES DE BR¹LEURS POUR L'ALIMENTATION DES FOYERS ET DES FOYERS AUTOMATIQUES, DE LEURS AVANT-FOYERS, GRILLES MÉCANIQUES, DISPOSITIFS MÉCANIQUES POUR L'ÉVACUATION DES CENDRES ET DISPOSITIFS SIMIL., N.D.A.")</f>
        <v xml:space="preserve">   PARTIES DE BR¹LEURS POUR L'ALIMENTATION DES FOYERS ET DES FOYERS AUTOMATIQUES, DE LEURS AVANT-FOYERS, GRILLES MÉCANIQUES, DISPOSITIFS MÉCANIQUES POUR L'ÉVACUATION DES CENDRES ET DISPOSITIFS SIMIL., N.D.A.</v>
      </c>
      <c r="C4830">
        <v>19979602</v>
      </c>
      <c r="D4830">
        <v>1880</v>
      </c>
    </row>
    <row r="4831" spans="1:4" x14ac:dyDescent="0.25">
      <c r="A4831" t="str">
        <f>T("   841720")</f>
        <v xml:space="preserve">   841720</v>
      </c>
      <c r="B4831" t="str">
        <f>T("   Fours non-électriques, de boulangerie, de pâtisserie ou de biscuiterie")</f>
        <v xml:space="preserve">   Fours non-électriques, de boulangerie, de pâtisserie ou de biscuiterie</v>
      </c>
      <c r="C4831">
        <v>52925764</v>
      </c>
      <c r="D4831">
        <v>13171</v>
      </c>
    </row>
    <row r="4832" spans="1:4" x14ac:dyDescent="0.25">
      <c r="A4832" t="str">
        <f>T("   841780")</f>
        <v xml:space="preserve">   841780</v>
      </c>
      <c r="B4832" t="s">
        <v>403</v>
      </c>
      <c r="C4832">
        <v>1743622</v>
      </c>
      <c r="D4832">
        <v>2063</v>
      </c>
    </row>
    <row r="4833" spans="1:4" x14ac:dyDescent="0.25">
      <c r="A4833" t="str">
        <f>T("   841790")</f>
        <v xml:space="preserve">   841790</v>
      </c>
      <c r="B4833" t="str">
        <f>T("   Parties de fours industriels ou de laboratoire non-électriques, y.c. d'incinérateurs, n.d.a.")</f>
        <v xml:space="preserve">   Parties de fours industriels ou de laboratoire non-électriques, y.c. d'incinérateurs, n.d.a.</v>
      </c>
      <c r="C4833">
        <v>12057299</v>
      </c>
      <c r="D4833">
        <v>1202</v>
      </c>
    </row>
    <row r="4834" spans="1:4" x14ac:dyDescent="0.25">
      <c r="A4834" t="str">
        <f>T("   841810")</f>
        <v xml:space="preserve">   841810</v>
      </c>
      <c r="B4834" t="str">
        <f>T("   Réfrigérateurs et congélateurs-conservateurs combinés, avec portes extérieures séparées")</f>
        <v xml:space="preserve">   Réfrigérateurs et congélateurs-conservateurs combinés, avec portes extérieures séparées</v>
      </c>
      <c r="C4834">
        <v>15085780</v>
      </c>
      <c r="D4834">
        <v>24100</v>
      </c>
    </row>
    <row r="4835" spans="1:4" x14ac:dyDescent="0.25">
      <c r="A4835" t="str">
        <f>T("   841821")</f>
        <v xml:space="preserve">   841821</v>
      </c>
      <c r="B4835" t="str">
        <f>T("   Réfrigérateurs ménagers à compression")</f>
        <v xml:space="preserve">   Réfrigérateurs ménagers à compression</v>
      </c>
      <c r="C4835">
        <v>67618456</v>
      </c>
      <c r="D4835">
        <v>118478.48</v>
      </c>
    </row>
    <row r="4836" spans="1:4" x14ac:dyDescent="0.25">
      <c r="A4836" t="str">
        <f>T("   841822")</f>
        <v xml:space="preserve">   841822</v>
      </c>
      <c r="B4836" t="str">
        <f>T("   Réfrigérateurs ménagers à absorption, électriques")</f>
        <v xml:space="preserve">   Réfrigérateurs ménagers à absorption, électriques</v>
      </c>
      <c r="C4836">
        <v>909162</v>
      </c>
      <c r="D4836">
        <v>410</v>
      </c>
    </row>
    <row r="4837" spans="1:4" x14ac:dyDescent="0.25">
      <c r="A4837" t="str">
        <f>T("   841829")</f>
        <v xml:space="preserve">   841829</v>
      </c>
      <c r="B4837" t="str">
        <f>T("   Réfrigérateurs ménagers à absorption, non-électriques")</f>
        <v xml:space="preserve">   Réfrigérateurs ménagers à absorption, non-électriques</v>
      </c>
      <c r="C4837">
        <v>107659579</v>
      </c>
      <c r="D4837">
        <v>171564</v>
      </c>
    </row>
    <row r="4838" spans="1:4" x14ac:dyDescent="0.25">
      <c r="A4838" t="str">
        <f>T("   841830")</f>
        <v xml:space="preserve">   841830</v>
      </c>
      <c r="B4838" t="str">
        <f>T("   Meubles congélateurs-conservateurs du type coffre, capacité &lt;= 800 l")</f>
        <v xml:space="preserve">   Meubles congélateurs-conservateurs du type coffre, capacité &lt;= 800 l</v>
      </c>
      <c r="C4838">
        <v>4777807</v>
      </c>
      <c r="D4838">
        <v>2520</v>
      </c>
    </row>
    <row r="4839" spans="1:4" x14ac:dyDescent="0.25">
      <c r="A4839" t="str">
        <f>T("   841840")</f>
        <v xml:space="preserve">   841840</v>
      </c>
      <c r="B4839" t="str">
        <f>T("   Meubles congélateurs-conservateurs du type armoire, capacité &lt;= 900 l")</f>
        <v xml:space="preserve">   Meubles congélateurs-conservateurs du type armoire, capacité &lt;= 900 l</v>
      </c>
      <c r="C4839">
        <v>1215632</v>
      </c>
      <c r="D4839">
        <v>271</v>
      </c>
    </row>
    <row r="4840" spans="1:4" x14ac:dyDescent="0.25">
      <c r="A4840" t="str">
        <f>T("   841850")</f>
        <v xml:space="preserve">   841850</v>
      </c>
      <c r="B4840" t="s">
        <v>404</v>
      </c>
      <c r="C4840">
        <v>33633686</v>
      </c>
      <c r="D4840">
        <v>6461</v>
      </c>
    </row>
    <row r="4841" spans="1:4" x14ac:dyDescent="0.25">
      <c r="A4841" t="str">
        <f>T("   841861")</f>
        <v xml:space="preserve">   841861</v>
      </c>
      <c r="B4841" t="str">
        <f>T("   Groupes à compression pour la production du froid, dont le condenseur est constitué par un échangeur de chaleur")</f>
        <v xml:space="preserve">   Groupes à compression pour la production du froid, dont le condenseur est constitué par un échangeur de chaleur</v>
      </c>
      <c r="C4841">
        <v>14638404</v>
      </c>
      <c r="D4841">
        <v>1362</v>
      </c>
    </row>
    <row r="4842" spans="1:4" x14ac:dyDescent="0.25">
      <c r="A4842" t="str">
        <f>T("   841869")</f>
        <v xml:space="preserve">   841869</v>
      </c>
      <c r="B4842"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4842">
        <v>141332316</v>
      </c>
      <c r="D4842">
        <v>20428</v>
      </c>
    </row>
    <row r="4843" spans="1:4" x14ac:dyDescent="0.25">
      <c r="A4843" t="str">
        <f>T("   841899")</f>
        <v xml:space="preserve">   841899</v>
      </c>
      <c r="B4843"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4843">
        <v>99129943</v>
      </c>
      <c r="D4843">
        <v>37887</v>
      </c>
    </row>
    <row r="4844" spans="1:4" x14ac:dyDescent="0.25">
      <c r="A4844" t="str">
        <f>T("   841911")</f>
        <v xml:space="preserve">   841911</v>
      </c>
      <c r="B4844" t="str">
        <f>T("   Chauffe-eau à chauffage instantané, à gaz (à l'excl. des chaudières ou générateurs mixtes pour chauffage central)")</f>
        <v xml:space="preserve">   Chauffe-eau à chauffage instantané, à gaz (à l'excl. des chaudières ou générateurs mixtes pour chauffage central)</v>
      </c>
      <c r="C4844">
        <v>6818790</v>
      </c>
      <c r="D4844">
        <v>4000</v>
      </c>
    </row>
    <row r="4845" spans="1:4" x14ac:dyDescent="0.25">
      <c r="A4845" t="str">
        <f>T("   841919")</f>
        <v xml:space="preserve">   841919</v>
      </c>
      <c r="B4845" t="str">
        <f>T("   Chauffe-eau non-électriques, à chauffage instantané ou à accumulation (à l'excl. des chauffe-eau instantanés à gaz et des chaudières ou générateurs mixtes pour chauffage central)")</f>
        <v xml:space="preserve">   Chauffe-eau non-électriques, à chauffage instantané ou à accumulation (à l'excl. des chauffe-eau instantanés à gaz et des chaudières ou générateurs mixtes pour chauffage central)</v>
      </c>
      <c r="C4845">
        <v>1234976</v>
      </c>
      <c r="D4845">
        <v>160</v>
      </c>
    </row>
    <row r="4846" spans="1:4" x14ac:dyDescent="0.25">
      <c r="A4846" t="str">
        <f>T("   841920")</f>
        <v xml:space="preserve">   841920</v>
      </c>
      <c r="B4846" t="str">
        <f>T("   Stérilisateurs médico-chirurgicaux ou de laboratoire")</f>
        <v xml:space="preserve">   Stérilisateurs médico-chirurgicaux ou de laboratoire</v>
      </c>
      <c r="C4846">
        <v>21408842</v>
      </c>
      <c r="D4846">
        <v>716.18</v>
      </c>
    </row>
    <row r="4847" spans="1:4" x14ac:dyDescent="0.25">
      <c r="A4847" t="str">
        <f>T("   841940")</f>
        <v xml:space="preserve">   841940</v>
      </c>
      <c r="B4847" t="str">
        <f>T("   Appareils de distillation ou de rectification")</f>
        <v xml:space="preserve">   Appareils de distillation ou de rectification</v>
      </c>
      <c r="C4847">
        <v>5407078</v>
      </c>
      <c r="D4847">
        <v>203</v>
      </c>
    </row>
    <row r="4848" spans="1:4" x14ac:dyDescent="0.25">
      <c r="A4848" t="str">
        <f>T("   841950")</f>
        <v xml:space="preserve">   841950</v>
      </c>
      <c r="B4848" t="str">
        <f>T("   Echangeurs de chaleur (à l'excl. des chauffe-eau à chauffage instantané ou à accumulation, des chaudières de chauffage central et des appareils dans lesquels l'échange thermique ne s'effectue pas à travers une paroi)")</f>
        <v xml:space="preserve">   Echangeurs de chaleur (à l'excl. des chauffe-eau à chauffage instantané ou à accumulation, des chaudières de chauffage central et des appareils dans lesquels l'échange thermique ne s'effectue pas à travers une paroi)</v>
      </c>
      <c r="C4848">
        <v>838318</v>
      </c>
      <c r="D4848">
        <v>225</v>
      </c>
    </row>
    <row r="4849" spans="1:4" x14ac:dyDescent="0.25">
      <c r="A4849" t="str">
        <f>T("   841960")</f>
        <v xml:space="preserve">   841960</v>
      </c>
      <c r="B4849" t="str">
        <f>T("   Appareils et dispositifs pour la liquéfaction de l'air ou d'autres gaz")</f>
        <v xml:space="preserve">   Appareils et dispositifs pour la liquéfaction de l'air ou d'autres gaz</v>
      </c>
      <c r="C4849">
        <v>329948</v>
      </c>
      <c r="D4849">
        <v>5</v>
      </c>
    </row>
    <row r="4850" spans="1:4" x14ac:dyDescent="0.25">
      <c r="A4850" t="str">
        <f>T("   841989")</f>
        <v xml:space="preserve">   841989</v>
      </c>
      <c r="B4850" t="s">
        <v>405</v>
      </c>
      <c r="C4850">
        <v>26996620</v>
      </c>
      <c r="D4850">
        <v>680</v>
      </c>
    </row>
    <row r="4851" spans="1:4" x14ac:dyDescent="0.25">
      <c r="A4851" t="str">
        <f>T("   841990")</f>
        <v xml:space="preserve">   841990</v>
      </c>
      <c r="B4851" t="str">
        <f>T("   Parties d'appareils et dispositifs, même chauffés électriquement, pour le traitement de matières par des opérations impliquant un changement de température, ainsi que de chauffe-eau non-électriques à chauffage instantané ou à accumulation, n.d.a.")</f>
        <v xml:space="preserve">   Parties d'appareils et dispositifs, même chauffés électriquement, pour le traitement de matières par des opérations impliquant un changement de température, ainsi que de chauffe-eau non-électriques à chauffage instantané ou à accumulation, n.d.a.</v>
      </c>
      <c r="C4851">
        <v>54455659</v>
      </c>
      <c r="D4851">
        <v>1650.5</v>
      </c>
    </row>
    <row r="4852" spans="1:4" x14ac:dyDescent="0.25">
      <c r="A4852" t="str">
        <f>T("   842111")</f>
        <v xml:space="preserve">   842111</v>
      </c>
      <c r="B4852" t="str">
        <f>T("   Ecrémeuses centrifuges")</f>
        <v xml:space="preserve">   Ecrémeuses centrifuges</v>
      </c>
      <c r="C4852">
        <v>1213526</v>
      </c>
      <c r="D4852">
        <v>74</v>
      </c>
    </row>
    <row r="4853" spans="1:4" x14ac:dyDescent="0.25">
      <c r="A4853" t="str">
        <f>T("   842121")</f>
        <v xml:space="preserve">   842121</v>
      </c>
      <c r="B4853" t="str">
        <f>T("   Appareils pour la filtration ou l'épuration des eaux")</f>
        <v xml:space="preserve">   Appareils pour la filtration ou l'épuration des eaux</v>
      </c>
      <c r="C4853">
        <v>79151659</v>
      </c>
      <c r="D4853">
        <v>8423.0499999999993</v>
      </c>
    </row>
    <row r="4854" spans="1:4" x14ac:dyDescent="0.25">
      <c r="A4854" t="str">
        <f>T("   842123")</f>
        <v xml:space="preserve">   842123</v>
      </c>
      <c r="B4854"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4854">
        <v>140543503</v>
      </c>
      <c r="D4854">
        <v>18853</v>
      </c>
    </row>
    <row r="4855" spans="1:4" x14ac:dyDescent="0.25">
      <c r="A4855" t="str">
        <f>T("   842129")</f>
        <v xml:space="preserve">   842129</v>
      </c>
      <c r="B4855"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4855">
        <v>666960888</v>
      </c>
      <c r="D4855">
        <v>31531</v>
      </c>
    </row>
    <row r="4856" spans="1:4" x14ac:dyDescent="0.25">
      <c r="A4856" t="str">
        <f>T("   842131")</f>
        <v xml:space="preserve">   842131</v>
      </c>
      <c r="B4856" t="str">
        <f>T("   Filtres d'entrée d'air pour moteurs à allumage par étincelles ou par compression")</f>
        <v xml:space="preserve">   Filtres d'entrée d'air pour moteurs à allumage par étincelles ou par compression</v>
      </c>
      <c r="C4856">
        <v>43584826</v>
      </c>
      <c r="D4856">
        <v>3906</v>
      </c>
    </row>
    <row r="4857" spans="1:4" x14ac:dyDescent="0.25">
      <c r="A4857" t="str">
        <f>T("   842139")</f>
        <v xml:space="preserve">   842139</v>
      </c>
      <c r="B4857"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4857">
        <v>36977829</v>
      </c>
      <c r="D4857">
        <v>3075.6</v>
      </c>
    </row>
    <row r="4858" spans="1:4" x14ac:dyDescent="0.25">
      <c r="A4858" t="str">
        <f>T("   842191")</f>
        <v xml:space="preserve">   842191</v>
      </c>
      <c r="B4858" t="str">
        <f>T("   Parties de centrifugeuses, y.c. d'essoreuses centrifuges, n.d.a.")</f>
        <v xml:space="preserve">   Parties de centrifugeuses, y.c. d'essoreuses centrifuges, n.d.a.</v>
      </c>
      <c r="C4858">
        <v>1206475</v>
      </c>
      <c r="D4858">
        <v>35</v>
      </c>
    </row>
    <row r="4859" spans="1:4" x14ac:dyDescent="0.25">
      <c r="A4859" t="str">
        <f>T("   842199")</f>
        <v xml:space="preserve">   842199</v>
      </c>
      <c r="B4859" t="str">
        <f>T("   Parties d'appareils pour la filtration ou l'épuration des liquides ou des gaz, n.d.a.")</f>
        <v xml:space="preserve">   Parties d'appareils pour la filtration ou l'épuration des liquides ou des gaz, n.d.a.</v>
      </c>
      <c r="C4859">
        <v>96951002</v>
      </c>
      <c r="D4859">
        <v>7778</v>
      </c>
    </row>
    <row r="4860" spans="1:4" x14ac:dyDescent="0.25">
      <c r="A4860" t="str">
        <f>T("   842211")</f>
        <v xml:space="preserve">   842211</v>
      </c>
      <c r="B4860" t="str">
        <f>T("   Machines à laver la vaisselle, de type ménager")</f>
        <v xml:space="preserve">   Machines à laver la vaisselle, de type ménager</v>
      </c>
      <c r="C4860">
        <v>4409936</v>
      </c>
      <c r="D4860">
        <v>2304</v>
      </c>
    </row>
    <row r="4861" spans="1:4" x14ac:dyDescent="0.25">
      <c r="A4861" t="str">
        <f>T("   842219")</f>
        <v xml:space="preserve">   842219</v>
      </c>
      <c r="B4861" t="str">
        <f>T("   Machines à laver la vaisselle (autres que de type ménager)")</f>
        <v xml:space="preserve">   Machines à laver la vaisselle (autres que de type ménager)</v>
      </c>
      <c r="C4861">
        <v>10829240</v>
      </c>
      <c r="D4861">
        <v>5766</v>
      </c>
    </row>
    <row r="4862" spans="1:4" x14ac:dyDescent="0.25">
      <c r="A4862" t="str">
        <f>T("   842230")</f>
        <v xml:space="preserve">   842230</v>
      </c>
      <c r="B4862"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4862">
        <v>327205310</v>
      </c>
      <c r="D4862">
        <v>9740</v>
      </c>
    </row>
    <row r="4863" spans="1:4" x14ac:dyDescent="0.25">
      <c r="A4863" t="str">
        <f>T("   842240")</f>
        <v xml:space="preserve">   842240</v>
      </c>
      <c r="B4863" t="s">
        <v>406</v>
      </c>
      <c r="C4863">
        <v>90920648</v>
      </c>
      <c r="D4863">
        <v>6003</v>
      </c>
    </row>
    <row r="4864" spans="1:4" x14ac:dyDescent="0.25">
      <c r="A4864" t="str">
        <f>T("   842290")</f>
        <v xml:space="preserve">   842290</v>
      </c>
      <c r="B4864"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4864">
        <v>787727998</v>
      </c>
      <c r="D4864">
        <v>32215</v>
      </c>
    </row>
    <row r="4865" spans="1:4" x14ac:dyDescent="0.25">
      <c r="A4865" t="str">
        <f>T("   842310")</f>
        <v xml:space="preserve">   842310</v>
      </c>
      <c r="B4865" t="str">
        <f>T("   Pèse-personnes, y.c. les pèse-bébés; balances de ménage")</f>
        <v xml:space="preserve">   Pèse-personnes, y.c. les pèse-bébés; balances de ménage</v>
      </c>
      <c r="C4865">
        <v>13456715</v>
      </c>
      <c r="D4865">
        <v>1660</v>
      </c>
    </row>
    <row r="4866" spans="1:4" x14ac:dyDescent="0.25">
      <c r="A4866" t="str">
        <f>T("   842320")</f>
        <v xml:space="preserve">   842320</v>
      </c>
      <c r="B4866" t="str">
        <f>T("   Bascules à pesage continu sur transporteurs")</f>
        <v xml:space="preserve">   Bascules à pesage continu sur transporteurs</v>
      </c>
      <c r="C4866">
        <v>16311757</v>
      </c>
      <c r="D4866">
        <v>349</v>
      </c>
    </row>
    <row r="4867" spans="1:4" x14ac:dyDescent="0.25">
      <c r="A4867" t="str">
        <f>T("   842381")</f>
        <v xml:space="preserve">   842381</v>
      </c>
      <c r="B4867" t="s">
        <v>407</v>
      </c>
      <c r="C4867">
        <v>357937</v>
      </c>
      <c r="D4867">
        <v>33</v>
      </c>
    </row>
    <row r="4868" spans="1:4" x14ac:dyDescent="0.25">
      <c r="A4868" t="str">
        <f>T("   842382")</f>
        <v xml:space="preserve">   842382</v>
      </c>
      <c r="B4868" t="str">
        <f>T("   Appareils et instruments de pesage, portée &gt; 30 kg mais &lt;= 5000 kg (à l'excl. des pèse-personnes, bascules à pesage continu sur transporteurs, bascules à pesées constantes et balances et bascules ensacheuses ou doseuses)")</f>
        <v xml:space="preserve">   Appareils et instruments de pesage, portée &gt; 30 kg mais &lt;= 5000 kg (à l'excl. des pèse-personnes, bascules à pesage continu sur transporteurs, bascules à pesées constantes et balances et bascules ensacheuses ou doseuses)</v>
      </c>
      <c r="C4868">
        <v>21445956</v>
      </c>
      <c r="D4868">
        <v>1387</v>
      </c>
    </row>
    <row r="4869" spans="1:4" x14ac:dyDescent="0.25">
      <c r="A4869" t="str">
        <f>T("   842389")</f>
        <v xml:space="preserve">   842389</v>
      </c>
      <c r="B4869" t="str">
        <f>T("   Appareils et instruments de pesage, portée &gt; 5000 kg")</f>
        <v xml:space="preserve">   Appareils et instruments de pesage, portée &gt; 5000 kg</v>
      </c>
      <c r="C4869">
        <v>16993385</v>
      </c>
      <c r="D4869">
        <v>7979</v>
      </c>
    </row>
    <row r="4870" spans="1:4" x14ac:dyDescent="0.25">
      <c r="A4870" t="str">
        <f>T("   842390")</f>
        <v xml:space="preserve">   842390</v>
      </c>
      <c r="B4870" t="str">
        <f>T("   Poids pour balances de tous genres; parties d'appareils et instruments de pesage, n.d.a.")</f>
        <v xml:space="preserve">   Poids pour balances de tous genres; parties d'appareils et instruments de pesage, n.d.a.</v>
      </c>
      <c r="C4870">
        <v>17405584</v>
      </c>
      <c r="D4870">
        <v>4169</v>
      </c>
    </row>
    <row r="4871" spans="1:4" x14ac:dyDescent="0.25">
      <c r="A4871" t="str">
        <f>T("   842410")</f>
        <v xml:space="preserve">   842410</v>
      </c>
      <c r="B4871" t="str">
        <f>T("   Extincteurs mécaniques, même chargés (sauf bombes et grenades d'extinction d'incendie)")</f>
        <v xml:space="preserve">   Extincteurs mécaniques, même chargés (sauf bombes et grenades d'extinction d'incendie)</v>
      </c>
      <c r="C4871">
        <v>118783921</v>
      </c>
      <c r="D4871">
        <v>44969</v>
      </c>
    </row>
    <row r="4872" spans="1:4" x14ac:dyDescent="0.25">
      <c r="A4872" t="str">
        <f>T("   842420")</f>
        <v xml:space="preserve">   842420</v>
      </c>
      <c r="B4872" t="s">
        <v>408</v>
      </c>
      <c r="C4872">
        <v>1758793</v>
      </c>
      <c r="D4872">
        <v>733</v>
      </c>
    </row>
    <row r="4873" spans="1:4" x14ac:dyDescent="0.25">
      <c r="A4873" t="str">
        <f>T("   842430")</f>
        <v xml:space="preserve">   842430</v>
      </c>
      <c r="B4873" t="s">
        <v>409</v>
      </c>
      <c r="C4873">
        <v>40816392</v>
      </c>
      <c r="D4873">
        <v>4453</v>
      </c>
    </row>
    <row r="4874" spans="1:4" x14ac:dyDescent="0.25">
      <c r="A4874" t="str">
        <f>T("   842481")</f>
        <v xml:space="preserve">   842481</v>
      </c>
      <c r="B4874"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4874">
        <v>18325645</v>
      </c>
      <c r="D4874">
        <v>3038</v>
      </c>
    </row>
    <row r="4875" spans="1:4" x14ac:dyDescent="0.25">
      <c r="A4875" t="str">
        <f>T("   842489")</f>
        <v xml:space="preserve">   842489</v>
      </c>
      <c r="B4875"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4875">
        <v>13379498</v>
      </c>
      <c r="D4875">
        <v>9939</v>
      </c>
    </row>
    <row r="4876" spans="1:4" x14ac:dyDescent="0.25">
      <c r="A4876" t="str">
        <f>T("   842490")</f>
        <v xml:space="preserve">   842490</v>
      </c>
      <c r="B4876" t="s">
        <v>410</v>
      </c>
      <c r="C4876">
        <v>5621470</v>
      </c>
      <c r="D4876">
        <v>700</v>
      </c>
    </row>
    <row r="4877" spans="1:4" x14ac:dyDescent="0.25">
      <c r="A4877" t="str">
        <f>T("   842511")</f>
        <v xml:space="preserve">   842511</v>
      </c>
      <c r="B4877" t="str">
        <f>T("   Palans à moteur électrique")</f>
        <v xml:space="preserve">   Palans à moteur électrique</v>
      </c>
      <c r="C4877">
        <v>26334826</v>
      </c>
      <c r="D4877">
        <v>2920</v>
      </c>
    </row>
    <row r="4878" spans="1:4" x14ac:dyDescent="0.25">
      <c r="A4878" t="str">
        <f>T("   842519")</f>
        <v xml:space="preserve">   842519</v>
      </c>
      <c r="B4878" t="str">
        <f>T("   Palans autres qu'à moteur électrique")</f>
        <v xml:space="preserve">   Palans autres qu'à moteur électrique</v>
      </c>
      <c r="C4878">
        <v>11317306</v>
      </c>
      <c r="D4878">
        <v>1927</v>
      </c>
    </row>
    <row r="4879" spans="1:4" x14ac:dyDescent="0.25">
      <c r="A4879" t="str">
        <f>T("   842539")</f>
        <v xml:space="preserve">   842539</v>
      </c>
      <c r="B4879" t="str">
        <f>T("   Treuils et cabestans, autres qu'à moteur électrique (sauf treuils pour puits de mines et sauf treuils spécialement conçus pour mines au fond)")</f>
        <v xml:space="preserve">   Treuils et cabestans, autres qu'à moteur électrique (sauf treuils pour puits de mines et sauf treuils spécialement conçus pour mines au fond)</v>
      </c>
      <c r="C4879">
        <v>7287301</v>
      </c>
      <c r="D4879">
        <v>2151</v>
      </c>
    </row>
    <row r="4880" spans="1:4" x14ac:dyDescent="0.25">
      <c r="A4880" t="str">
        <f>T("   842542")</f>
        <v xml:space="preserve">   842542</v>
      </c>
      <c r="B4880" t="str">
        <f>T("   Crics et vérins, hydrauliques (sauf élévateurs fixes des types utilisés dans les garages pour voitures)")</f>
        <v xml:space="preserve">   Crics et vérins, hydrauliques (sauf élévateurs fixes des types utilisés dans les garages pour voitures)</v>
      </c>
      <c r="C4880">
        <v>4475040</v>
      </c>
      <c r="D4880">
        <v>1141</v>
      </c>
    </row>
    <row r="4881" spans="1:4" x14ac:dyDescent="0.25">
      <c r="A4881" t="str">
        <f>T("   842549")</f>
        <v xml:space="preserve">   842549</v>
      </c>
      <c r="B4881" t="str">
        <f>T("   Crics et vérins, non hydrauliques")</f>
        <v xml:space="preserve">   Crics et vérins, non hydrauliques</v>
      </c>
      <c r="C4881">
        <v>49352555</v>
      </c>
      <c r="D4881">
        <v>3265</v>
      </c>
    </row>
    <row r="4882" spans="1:4" x14ac:dyDescent="0.25">
      <c r="A4882" t="str">
        <f>T("   842611")</f>
        <v xml:space="preserve">   842611</v>
      </c>
      <c r="B4882" t="str">
        <f>T("   Ponts roulants et poutres roulantes sur supports fixes")</f>
        <v xml:space="preserve">   Ponts roulants et poutres roulantes sur supports fixes</v>
      </c>
      <c r="C4882">
        <v>19765557</v>
      </c>
      <c r="D4882">
        <v>2640</v>
      </c>
    </row>
    <row r="4883" spans="1:4" x14ac:dyDescent="0.25">
      <c r="A4883" t="str">
        <f>T("   842630")</f>
        <v xml:space="preserve">   842630</v>
      </c>
      <c r="B4883" t="str">
        <f>T("   Grues sur portiques")</f>
        <v xml:space="preserve">   Grues sur portiques</v>
      </c>
      <c r="C4883">
        <v>3939968</v>
      </c>
      <c r="D4883">
        <v>8000</v>
      </c>
    </row>
    <row r="4884" spans="1:4" x14ac:dyDescent="0.25">
      <c r="A4884" t="str">
        <f>T("   842641")</f>
        <v xml:space="preserve">   842641</v>
      </c>
      <c r="B4884" t="str">
        <f>T("   Bigues et chariots-grues et autres machines et appareils autopropulsés, sur pneumatiques (à l'excl. des grues automotrices, portiques mobiles se déplaçant sur pneumatiques et sauf chariots-cavaliers)")</f>
        <v xml:space="preserve">   Bigues et chariots-grues et autres machines et appareils autopropulsés, sur pneumatiques (à l'excl. des grues automotrices, portiques mobiles se déplaçant sur pneumatiques et sauf chariots-cavaliers)</v>
      </c>
      <c r="C4884">
        <v>11000449</v>
      </c>
      <c r="D4884">
        <v>52000</v>
      </c>
    </row>
    <row r="4885" spans="1:4" x14ac:dyDescent="0.25">
      <c r="A4885" t="str">
        <f>T("   842720")</f>
        <v xml:space="preserve">   842720</v>
      </c>
      <c r="B4885" t="str">
        <f>T("   Chariots de manutention autopropulsés, autres qu'à moteur électrique, avec dispositif de levage")</f>
        <v xml:space="preserve">   Chariots de manutention autopropulsés, autres qu'à moteur électrique, avec dispositif de levage</v>
      </c>
      <c r="C4885">
        <v>32230568</v>
      </c>
      <c r="D4885">
        <v>7750</v>
      </c>
    </row>
    <row r="4886" spans="1:4" x14ac:dyDescent="0.25">
      <c r="A4886" t="str">
        <f>T("   842790")</f>
        <v xml:space="preserve">   842790</v>
      </c>
      <c r="B4886" t="str">
        <f>T("   Chariots de manutention munis d'un dispositif de levage mais non autopropulsés")</f>
        <v xml:space="preserve">   Chariots de manutention munis d'un dispositif de levage mais non autopropulsés</v>
      </c>
      <c r="C4886">
        <v>179714654</v>
      </c>
      <c r="D4886">
        <v>42617</v>
      </c>
    </row>
    <row r="4887" spans="1:4" x14ac:dyDescent="0.25">
      <c r="A4887" t="str">
        <f>T("   842810")</f>
        <v xml:space="preserve">   842810</v>
      </c>
      <c r="B4887" t="str">
        <f>T("   Ascenseurs et monte-charge")</f>
        <v xml:space="preserve">   Ascenseurs et monte-charge</v>
      </c>
      <c r="C4887">
        <v>52548121</v>
      </c>
      <c r="D4887">
        <v>15202</v>
      </c>
    </row>
    <row r="4888" spans="1:4" x14ac:dyDescent="0.25">
      <c r="A4888" t="str">
        <f>T("   842820")</f>
        <v xml:space="preserve">   842820</v>
      </c>
      <c r="B4888" t="str">
        <f>T("   Appareils élévateurs ou transporteurs, pneumatiques")</f>
        <v xml:space="preserve">   Appareils élévateurs ou transporteurs, pneumatiques</v>
      </c>
      <c r="C4888">
        <v>57068521</v>
      </c>
      <c r="D4888">
        <v>15600</v>
      </c>
    </row>
    <row r="4889" spans="1:4" x14ac:dyDescent="0.25">
      <c r="A4889" t="str">
        <f>T("   842833")</f>
        <v xml:space="preserve">   842833</v>
      </c>
      <c r="B4889" t="str">
        <f>T("   Appareils élévateurs, transporteurs ou convoyeurs pour marchandises, à action continue, à bande ou à courroie (autres que conçus pour mines au fond et autres travaux souterrains)")</f>
        <v xml:space="preserve">   Appareils élévateurs, transporteurs ou convoyeurs pour marchandises, à action continue, à bande ou à courroie (autres que conçus pour mines au fond et autres travaux souterrains)</v>
      </c>
      <c r="C4889">
        <v>6317402</v>
      </c>
      <c r="D4889">
        <v>2860</v>
      </c>
    </row>
    <row r="4890" spans="1:4" x14ac:dyDescent="0.25">
      <c r="A4890" t="str">
        <f>T("   842839")</f>
        <v xml:space="preserve">   842839</v>
      </c>
      <c r="B4890"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4890">
        <v>22333751</v>
      </c>
      <c r="D4890">
        <v>14107</v>
      </c>
    </row>
    <row r="4891" spans="1:4" x14ac:dyDescent="0.25">
      <c r="A4891" t="str">
        <f>T("   842890")</f>
        <v xml:space="preserve">   842890</v>
      </c>
      <c r="B4891" t="str">
        <f>T("   Machines et appareils de levage, chargement, déchargement ou manutention, n.d.a.")</f>
        <v xml:space="preserve">   Machines et appareils de levage, chargement, déchargement ou manutention, n.d.a.</v>
      </c>
      <c r="C4891">
        <v>1279122</v>
      </c>
      <c r="D4891">
        <v>335</v>
      </c>
    </row>
    <row r="4892" spans="1:4" x14ac:dyDescent="0.25">
      <c r="A4892" t="str">
        <f>T("   842911")</f>
        <v xml:space="preserve">   842911</v>
      </c>
      <c r="B4892" t="str">
        <f>T("   Bouteurs 'bulldozers' et bouteurs biais 'angledozers', à chenilles")</f>
        <v xml:space="preserve">   Bouteurs 'bulldozers' et bouteurs biais 'angledozers', à chenilles</v>
      </c>
      <c r="C4892">
        <v>8000088</v>
      </c>
      <c r="D4892">
        <v>17000</v>
      </c>
    </row>
    <row r="4893" spans="1:4" x14ac:dyDescent="0.25">
      <c r="A4893" t="str">
        <f>T("   842920")</f>
        <v xml:space="preserve">   842920</v>
      </c>
      <c r="B4893" t="str">
        <f>T("   Niveleuses autopropulsées")</f>
        <v xml:space="preserve">   Niveleuses autopropulsées</v>
      </c>
      <c r="C4893">
        <v>16572694</v>
      </c>
      <c r="D4893">
        <v>31660</v>
      </c>
    </row>
    <row r="4894" spans="1:4" x14ac:dyDescent="0.25">
      <c r="A4894" t="str">
        <f>T("   842940")</f>
        <v xml:space="preserve">   842940</v>
      </c>
      <c r="B4894" t="str">
        <f>T("   Rouleaux compresseurs et autres compacteuses, autopropulsés")</f>
        <v xml:space="preserve">   Rouleaux compresseurs et autres compacteuses, autopropulsés</v>
      </c>
      <c r="C4894">
        <v>31540021</v>
      </c>
      <c r="D4894">
        <v>142200</v>
      </c>
    </row>
    <row r="4895" spans="1:4" x14ac:dyDescent="0.25">
      <c r="A4895" t="str">
        <f>T("   842951")</f>
        <v xml:space="preserve">   842951</v>
      </c>
      <c r="B4895" t="str">
        <f>T("   Chargeuses et chargeuses-pelleteuses, à chargement frontal, autopropulsées")</f>
        <v xml:space="preserve">   Chargeuses et chargeuses-pelleteuses, à chargement frontal, autopropulsées</v>
      </c>
      <c r="C4895">
        <v>101898422</v>
      </c>
      <c r="D4895">
        <v>89640</v>
      </c>
    </row>
    <row r="4896" spans="1:4" x14ac:dyDescent="0.25">
      <c r="A4896" t="str">
        <f>T("   842952")</f>
        <v xml:space="preserve">   842952</v>
      </c>
      <c r="B4896" t="str">
        <f>T("   Pelles mécaniques, autopropulsées, dont la superstructure peut effectuer une rotation de 360°")</f>
        <v xml:space="preserve">   Pelles mécaniques, autopropulsées, dont la superstructure peut effectuer une rotation de 360°</v>
      </c>
      <c r="C4896">
        <v>234565041</v>
      </c>
      <c r="D4896">
        <v>98713</v>
      </c>
    </row>
    <row r="4897" spans="1:4" x14ac:dyDescent="0.25">
      <c r="A4897" t="str">
        <f>T("   842959")</f>
        <v xml:space="preserve">   842959</v>
      </c>
      <c r="B4897"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4897">
        <v>29642373</v>
      </c>
      <c r="D4897">
        <v>71130</v>
      </c>
    </row>
    <row r="4898" spans="1:4" x14ac:dyDescent="0.25">
      <c r="A4898" t="str">
        <f>T("   843039")</f>
        <v xml:space="preserve">   843039</v>
      </c>
      <c r="B4898" t="str">
        <f>T("   Haveuses, abatteuses et autres machines à creuser les tunnels ou les galeries, non autopropulsées (à l'excl. de l'outillage pour emploi à la main et du soutènement marchant hydraulique pour mines)")</f>
        <v xml:space="preserve">   Haveuses, abatteuses et autres machines à creuser les tunnels ou les galeries, non autopropulsées (à l'excl. de l'outillage pour emploi à la main et du soutènement marchant hydraulique pour mines)</v>
      </c>
      <c r="C4898">
        <v>132997917</v>
      </c>
      <c r="D4898">
        <v>10450</v>
      </c>
    </row>
    <row r="4899" spans="1:4" x14ac:dyDescent="0.25">
      <c r="A4899" t="str">
        <f>T("   843069")</f>
        <v xml:space="preserve">   843069</v>
      </c>
      <c r="B4899"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4899">
        <v>493308158</v>
      </c>
      <c r="D4899">
        <v>25212</v>
      </c>
    </row>
    <row r="4900" spans="1:4" x14ac:dyDescent="0.25">
      <c r="A4900" t="str">
        <f>T("   843110")</f>
        <v xml:space="preserve">   843110</v>
      </c>
      <c r="B4900" t="str">
        <f>T("   Parties de palans; treuils, cabestans; crics et vérins, n.d.a.")</f>
        <v xml:space="preserve">   Parties de palans; treuils, cabestans; crics et vérins, n.d.a.</v>
      </c>
      <c r="C4900">
        <v>1153945</v>
      </c>
      <c r="D4900">
        <v>1136</v>
      </c>
    </row>
    <row r="4901" spans="1:4" x14ac:dyDescent="0.25">
      <c r="A4901" t="str">
        <f>T("   843120")</f>
        <v xml:space="preserve">   843120</v>
      </c>
      <c r="B4901" t="str">
        <f>T("   Parties de chariots-gerbeurs et autres chariots de manutention munis d'un dispositif de levage, n.d.a.")</f>
        <v xml:space="preserve">   Parties de chariots-gerbeurs et autres chariots de manutention munis d'un dispositif de levage, n.d.a.</v>
      </c>
      <c r="C4901">
        <v>84073718</v>
      </c>
      <c r="D4901">
        <v>5511.5</v>
      </c>
    </row>
    <row r="4902" spans="1:4" x14ac:dyDescent="0.25">
      <c r="A4902" t="str">
        <f>T("   843131")</f>
        <v xml:space="preserve">   843131</v>
      </c>
      <c r="B4902" t="str">
        <f>T("   Parties d'ascenseurs, monte-charge ou escaliers mécaniques, n.d.a.")</f>
        <v xml:space="preserve">   Parties d'ascenseurs, monte-charge ou escaliers mécaniques, n.d.a.</v>
      </c>
      <c r="C4902">
        <v>11771402</v>
      </c>
      <c r="D4902">
        <v>685</v>
      </c>
    </row>
    <row r="4903" spans="1:4" x14ac:dyDescent="0.25">
      <c r="A4903" t="str">
        <f>T("   843139")</f>
        <v xml:space="preserve">   843139</v>
      </c>
      <c r="B4903" t="str">
        <f>T("   Parties de machines et appareils du n° 8428, n.d.a.")</f>
        <v xml:space="preserve">   Parties de machines et appareils du n° 8428, n.d.a.</v>
      </c>
      <c r="C4903">
        <v>302506986</v>
      </c>
      <c r="D4903">
        <v>28462.7</v>
      </c>
    </row>
    <row r="4904" spans="1:4" x14ac:dyDescent="0.25">
      <c r="A4904" t="str">
        <f>T("   843141")</f>
        <v xml:space="preserve">   843141</v>
      </c>
      <c r="B4904" t="str">
        <f>T("   Godets, bennes, bennes-preneuses, pelles, grappins et pinces pour machines et appareils du n° 8426, 8429 ou 8430")</f>
        <v xml:space="preserve">   Godets, bennes, bennes-preneuses, pelles, grappins et pinces pour machines et appareils du n° 8426, 8429 ou 8430</v>
      </c>
      <c r="C4904">
        <v>7317786</v>
      </c>
      <c r="D4904">
        <v>2832</v>
      </c>
    </row>
    <row r="4905" spans="1:4" x14ac:dyDescent="0.25">
      <c r="A4905" t="str">
        <f>T("   843142")</f>
        <v xml:space="preserve">   843142</v>
      </c>
      <c r="B4905" t="str">
        <f>T("   Lames de bouteurs 'bulldozers' ou de bouteurs biais 'angledozers', n.d.a.")</f>
        <v xml:space="preserve">   Lames de bouteurs 'bulldozers' ou de bouteurs biais 'angledozers', n.d.a.</v>
      </c>
      <c r="C4905">
        <v>6763604</v>
      </c>
      <c r="D4905">
        <v>18735</v>
      </c>
    </row>
    <row r="4906" spans="1:4" x14ac:dyDescent="0.25">
      <c r="A4906" t="str">
        <f>T("   843143")</f>
        <v xml:space="preserve">   843143</v>
      </c>
      <c r="B4906" t="str">
        <f>T("   Parties de machines de sondage ou de forage du n° 8430.41 ou 8430.49, n.d.a.")</f>
        <v xml:space="preserve">   Parties de machines de sondage ou de forage du n° 8430.41 ou 8430.49, n.d.a.</v>
      </c>
      <c r="C4906">
        <v>7853153</v>
      </c>
      <c r="D4906">
        <v>510</v>
      </c>
    </row>
    <row r="4907" spans="1:4" x14ac:dyDescent="0.25">
      <c r="A4907" t="str">
        <f>T("   843149")</f>
        <v xml:space="preserve">   843149</v>
      </c>
      <c r="B4907" t="str">
        <f>T("   Parties de machines et appareils du n° 8426, 8429 ou 8430, n.d.a.")</f>
        <v xml:space="preserve">   Parties de machines et appareils du n° 8426, 8429 ou 8430, n.d.a.</v>
      </c>
      <c r="C4907">
        <v>666970416</v>
      </c>
      <c r="D4907">
        <v>149455.65</v>
      </c>
    </row>
    <row r="4908" spans="1:4" x14ac:dyDescent="0.25">
      <c r="A4908" t="str">
        <f>T("   843229")</f>
        <v xml:space="preserve">   843229</v>
      </c>
      <c r="B4908" t="str">
        <f>T("   Herses, scarificateurs, cultivateurs, extirpateurs, houes, sarcleuses et bineuses pour l'agriculture, la sylviculture ou l'horticulture (à l'excl. des herses à disques)")</f>
        <v xml:space="preserve">   Herses, scarificateurs, cultivateurs, extirpateurs, houes, sarcleuses et bineuses pour l'agriculture, la sylviculture ou l'horticulture (à l'excl. des herses à disques)</v>
      </c>
      <c r="C4908">
        <v>576877</v>
      </c>
      <c r="D4908">
        <v>80</v>
      </c>
    </row>
    <row r="4909" spans="1:4" x14ac:dyDescent="0.25">
      <c r="A4909" t="str">
        <f>T("   843280")</f>
        <v xml:space="preserve">   843280</v>
      </c>
      <c r="B4909" t="s">
        <v>412</v>
      </c>
      <c r="C4909">
        <v>300430</v>
      </c>
      <c r="D4909">
        <v>150</v>
      </c>
    </row>
    <row r="4910" spans="1:4" x14ac:dyDescent="0.25">
      <c r="A4910" t="str">
        <f>T("   843311")</f>
        <v xml:space="preserve">   843311</v>
      </c>
      <c r="B4910" t="str">
        <f>T("   Tondeuses à gazon à moteur, dont le dispositif de coupe tourne dans un plan horizontal")</f>
        <v xml:space="preserve">   Tondeuses à gazon à moteur, dont le dispositif de coupe tourne dans un plan horizontal</v>
      </c>
      <c r="C4910">
        <v>870092</v>
      </c>
      <c r="D4910">
        <v>464</v>
      </c>
    </row>
    <row r="4911" spans="1:4" x14ac:dyDescent="0.25">
      <c r="A4911" t="str">
        <f>T("   843319")</f>
        <v xml:space="preserve">   843319</v>
      </c>
      <c r="B4911" t="str">
        <f>T("   Tondeuses à gazon à moteur, dont le dispositif de coupe tourne dans un plan vertical, ou à barre de coupe")</f>
        <v xml:space="preserve">   Tondeuses à gazon à moteur, dont le dispositif de coupe tourne dans un plan vertical, ou à barre de coupe</v>
      </c>
      <c r="C4911">
        <v>750930</v>
      </c>
      <c r="D4911">
        <v>92</v>
      </c>
    </row>
    <row r="4912" spans="1:4" x14ac:dyDescent="0.25">
      <c r="A4912" t="str">
        <f>T("   843390")</f>
        <v xml:space="preserve">   843390</v>
      </c>
      <c r="B4912"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4912">
        <v>4775998</v>
      </c>
      <c r="D4912">
        <v>1846</v>
      </c>
    </row>
    <row r="4913" spans="1:4" x14ac:dyDescent="0.25">
      <c r="A4913" t="str">
        <f>T("   843510")</f>
        <v xml:space="preserve">   843510</v>
      </c>
      <c r="B4913" t="s">
        <v>414</v>
      </c>
      <c r="C4913">
        <v>65000</v>
      </c>
      <c r="D4913">
        <v>80</v>
      </c>
    </row>
    <row r="4914" spans="1:4" x14ac:dyDescent="0.25">
      <c r="A4914" t="str">
        <f>T("   843629")</f>
        <v xml:space="preserve">   843629</v>
      </c>
      <c r="B4914" t="str">
        <f>T("   Machines et appareils pour l'aviculture (sauf machines à trier les oeufs, machines à plumer du n° 8438 et sauf couveuses et éleveuses)")</f>
        <v xml:space="preserve">   Machines et appareils pour l'aviculture (sauf machines à trier les oeufs, machines à plumer du n° 8438 et sauf couveuses et éleveuses)</v>
      </c>
      <c r="C4914">
        <v>23980586</v>
      </c>
      <c r="D4914">
        <v>6800</v>
      </c>
    </row>
    <row r="4915" spans="1:4" x14ac:dyDescent="0.25">
      <c r="A4915" t="str">
        <f>T("   843691")</f>
        <v xml:space="preserve">   843691</v>
      </c>
      <c r="B4915" t="str">
        <f>T("   Parties de machines et appareils pour l'aviculture, n.d.a.")</f>
        <v xml:space="preserve">   Parties de machines et appareils pour l'aviculture, n.d.a.</v>
      </c>
      <c r="C4915">
        <v>2411965</v>
      </c>
      <c r="D4915">
        <v>840</v>
      </c>
    </row>
    <row r="4916" spans="1:4" x14ac:dyDescent="0.25">
      <c r="A4916" t="str">
        <f>T("   843699")</f>
        <v xml:space="preserve">   843699</v>
      </c>
      <c r="B4916" t="str">
        <f>T("   Parties de machines et appareils pour l'agriculture, la sylviculture, l'horticulture ou l'apiculture, n.d.a.")</f>
        <v xml:space="preserve">   Parties de machines et appareils pour l'agriculture, la sylviculture, l'horticulture ou l'apiculture, n.d.a.</v>
      </c>
      <c r="C4916">
        <v>17763895</v>
      </c>
      <c r="D4916">
        <v>1587</v>
      </c>
    </row>
    <row r="4917" spans="1:4" x14ac:dyDescent="0.25">
      <c r="A4917" t="str">
        <f>T("   843780")</f>
        <v xml:space="preserve">   843780</v>
      </c>
      <c r="B4917" t="s">
        <v>415</v>
      </c>
      <c r="C4917">
        <v>2742569</v>
      </c>
      <c r="D4917">
        <v>352</v>
      </c>
    </row>
    <row r="4918" spans="1:4" x14ac:dyDescent="0.25">
      <c r="A4918" t="str">
        <f>T("   843790")</f>
        <v xml:space="preserve">   843790</v>
      </c>
      <c r="B4918"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4918">
        <v>28667134</v>
      </c>
      <c r="D4918">
        <v>2410</v>
      </c>
    </row>
    <row r="4919" spans="1:4" x14ac:dyDescent="0.25">
      <c r="A4919" t="str">
        <f>T("   843810")</f>
        <v xml:space="preserve">   843810</v>
      </c>
      <c r="B4919" t="s">
        <v>416</v>
      </c>
      <c r="C4919">
        <v>80397252</v>
      </c>
      <c r="D4919">
        <v>36243</v>
      </c>
    </row>
    <row r="4920" spans="1:4" x14ac:dyDescent="0.25">
      <c r="A4920" t="str">
        <f>T("   843830")</f>
        <v xml:space="preserve">   843830</v>
      </c>
      <c r="B4920" t="str">
        <f>T("   Machines et appareils pour la fabrication industrielle de sucre (sauf centrifugeuses et sauf appareils de filtrage, appareils thermiques et appareils de refroidissement)")</f>
        <v xml:space="preserve">   Machines et appareils pour la fabrication industrielle de sucre (sauf centrifugeuses et sauf appareils de filtrage, appareils thermiques et appareils de refroidissement)</v>
      </c>
      <c r="C4920">
        <v>2754376</v>
      </c>
      <c r="D4920">
        <v>30</v>
      </c>
    </row>
    <row r="4921" spans="1:4" x14ac:dyDescent="0.25">
      <c r="A4921" t="str">
        <f>T("   843840")</f>
        <v xml:space="preserve">   843840</v>
      </c>
      <c r="B4921" t="str">
        <f>T("   Machines et appareils pour la brasserie (sauf centrifugeuses et sauf appareils de filtrage, appareils thermiques et appareils de refroidissement)")</f>
        <v xml:space="preserve">   Machines et appareils pour la brasserie (sauf centrifugeuses et sauf appareils de filtrage, appareils thermiques et appareils de refroidissement)</v>
      </c>
      <c r="C4921">
        <v>20838538</v>
      </c>
      <c r="D4921">
        <v>744</v>
      </c>
    </row>
    <row r="4922" spans="1:4" x14ac:dyDescent="0.25">
      <c r="A4922" t="str">
        <f>T("   843880")</f>
        <v xml:space="preserve">   843880</v>
      </c>
      <c r="B4922" t="str">
        <f>T("   Machines et appareils pour la préparation ou la fabrication industrielles d'aliments ou de boissons, n.d.a.")</f>
        <v xml:space="preserve">   Machines et appareils pour la préparation ou la fabrication industrielles d'aliments ou de boissons, n.d.a.</v>
      </c>
      <c r="C4922">
        <v>2529867</v>
      </c>
      <c r="D4922">
        <v>9179</v>
      </c>
    </row>
    <row r="4923" spans="1:4" x14ac:dyDescent="0.25">
      <c r="A4923" t="str">
        <f>T("   843890")</f>
        <v xml:space="preserve">   843890</v>
      </c>
      <c r="B4923"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4923">
        <v>211254051</v>
      </c>
      <c r="D4923">
        <v>14422</v>
      </c>
    </row>
    <row r="4924" spans="1:4" x14ac:dyDescent="0.25">
      <c r="A4924" t="str">
        <f>T("   844010")</f>
        <v xml:space="preserve">   844010</v>
      </c>
      <c r="B4924" t="s">
        <v>418</v>
      </c>
      <c r="C4924">
        <v>834382</v>
      </c>
      <c r="D4924">
        <v>847</v>
      </c>
    </row>
    <row r="4925" spans="1:4" x14ac:dyDescent="0.25">
      <c r="A4925" t="str">
        <f>T("   844110")</f>
        <v xml:space="preserve">   844110</v>
      </c>
      <c r="B4925" t="str">
        <f>T("   Coupeuses pour le travail de la pâte à papier, du papier ou du carton (sauf machines et appareils pour le brochage ou la reliure)")</f>
        <v xml:space="preserve">   Coupeuses pour le travail de la pâte à papier, du papier ou du carton (sauf machines et appareils pour le brochage ou la reliure)</v>
      </c>
      <c r="C4925">
        <v>30877538</v>
      </c>
      <c r="D4925">
        <v>3605</v>
      </c>
    </row>
    <row r="4926" spans="1:4" x14ac:dyDescent="0.25">
      <c r="A4926" t="str">
        <f>T("   844180")</f>
        <v xml:space="preserve">   844180</v>
      </c>
      <c r="B4926" t="str">
        <f>T("   Machines et appareils pour le travail de la pâte à papier, du papier ou du carton, n.d.a.")</f>
        <v xml:space="preserve">   Machines et appareils pour le travail de la pâte à papier, du papier ou du carton, n.d.a.</v>
      </c>
      <c r="C4926">
        <v>23328045</v>
      </c>
      <c r="D4926">
        <v>56052</v>
      </c>
    </row>
    <row r="4927" spans="1:4" x14ac:dyDescent="0.25">
      <c r="A4927" t="str">
        <f>T("   844190")</f>
        <v xml:space="preserve">   844190</v>
      </c>
      <c r="B4927" t="str">
        <f>T("   Parties de machines et appareils pour le travail de la pâte à papier, du papier ou du carton, n.d.a.")</f>
        <v xml:space="preserve">   Parties de machines et appareils pour le travail de la pâte à papier, du papier ou du carton, n.d.a.</v>
      </c>
      <c r="C4927">
        <v>918344</v>
      </c>
      <c r="D4927">
        <v>700</v>
      </c>
    </row>
    <row r="4928" spans="1:4" x14ac:dyDescent="0.25">
      <c r="A4928" t="str">
        <f>T("   844210")</f>
        <v xml:space="preserve">   844210</v>
      </c>
      <c r="B4928" t="str">
        <f>T("   Machines à composer par procédé photographique (à l'excl. également des machines automatiques universelles de traitement informatique de la photocomposition)")</f>
        <v xml:space="preserve">   Machines à composer par procédé photographique (à l'excl. également des machines automatiques universelles de traitement informatique de la photocomposition)</v>
      </c>
      <c r="C4928">
        <v>9305908</v>
      </c>
      <c r="D4928">
        <v>2573</v>
      </c>
    </row>
    <row r="4929" spans="1:4" x14ac:dyDescent="0.25">
      <c r="A4929" t="str">
        <f>T("   844220")</f>
        <v xml:space="preserve">   844220</v>
      </c>
      <c r="B4929" t="str">
        <f>T("   Machines, appareils et matériel à composer les caractères, même avec dispositif à fondre (sauf par procédés photographiques)")</f>
        <v xml:space="preserve">   Machines, appareils et matériel à composer les caractères, même avec dispositif à fondre (sauf par procédés photographiques)</v>
      </c>
      <c r="C4929">
        <v>1617499</v>
      </c>
      <c r="D4929">
        <v>2020</v>
      </c>
    </row>
    <row r="4930" spans="1:4" x14ac:dyDescent="0.25">
      <c r="A4930" t="str">
        <f>T("   844230")</f>
        <v xml:space="preserve">   844230</v>
      </c>
      <c r="B4930" t="s">
        <v>419</v>
      </c>
      <c r="C4930">
        <v>6699583</v>
      </c>
      <c r="D4930">
        <v>16934</v>
      </c>
    </row>
    <row r="4931" spans="1:4" x14ac:dyDescent="0.25">
      <c r="A4931" t="str">
        <f>T("   844250")</f>
        <v xml:space="preserve">   844250</v>
      </c>
      <c r="B4931" t="str">
        <f>T("   PLANCHES, CYLINDRES ET AUTRES ORGANES IMPRIMANTS; PIERRES LITHOGRAPHIQUES, PLANCHES, PLAQUES ET CYLINDRES PRÉPARÉS POUR L'IMPRESSION -PLANÉS, GRENÉS, POLIS, P.EX.-")</f>
        <v xml:space="preserve">   PLANCHES, CYLINDRES ET AUTRES ORGANES IMPRIMANTS; PIERRES LITHOGRAPHIQUES, PLANCHES, PLAQUES ET CYLINDRES PRÉPARÉS POUR L'IMPRESSION -PLANÉS, GRENÉS, POLIS, P.EX.-</v>
      </c>
      <c r="C4931">
        <v>2408633</v>
      </c>
      <c r="D4931">
        <v>103</v>
      </c>
    </row>
    <row r="4932" spans="1:4" x14ac:dyDescent="0.25">
      <c r="A4932" t="str">
        <f>T("   844311")</f>
        <v xml:space="preserve">   844311</v>
      </c>
      <c r="B4932" t="str">
        <f>T("   Machines et appareils à imprimer, offset, alimentés en bobines")</f>
        <v xml:space="preserve">   Machines et appareils à imprimer, offset, alimentés en bobines</v>
      </c>
      <c r="C4932">
        <v>7762474</v>
      </c>
      <c r="D4932">
        <v>16495</v>
      </c>
    </row>
    <row r="4933" spans="1:4" x14ac:dyDescent="0.25">
      <c r="A4933" t="str">
        <f>T("   844319")</f>
        <v xml:space="preserve">   844319</v>
      </c>
      <c r="B4933" t="s">
        <v>420</v>
      </c>
      <c r="C4933">
        <v>28190098</v>
      </c>
      <c r="D4933">
        <v>33453</v>
      </c>
    </row>
    <row r="4934" spans="1:4" x14ac:dyDescent="0.25">
      <c r="A4934" t="str">
        <f>T("   844330")</f>
        <v xml:space="preserve">   844330</v>
      </c>
      <c r="B4934" t="str">
        <f>T("   Machines et appareils à imprimer, flexographiques")</f>
        <v xml:space="preserve">   Machines et appareils à imprimer, flexographiques</v>
      </c>
      <c r="C4934">
        <v>122929902</v>
      </c>
      <c r="D4934">
        <v>12458</v>
      </c>
    </row>
    <row r="4935" spans="1:4" x14ac:dyDescent="0.25">
      <c r="A4935" t="str">
        <f>T("   844351")</f>
        <v xml:space="preserve">   844351</v>
      </c>
      <c r="B4935" t="str">
        <f>T("   Machines à imprimer à jet d'encre")</f>
        <v xml:space="preserve">   Machines à imprimer à jet d'encre</v>
      </c>
      <c r="C4935">
        <v>1829472</v>
      </c>
      <c r="D4935">
        <v>432</v>
      </c>
    </row>
    <row r="4936" spans="1:4" x14ac:dyDescent="0.25">
      <c r="A4936" t="str">
        <f>T("   844359")</f>
        <v xml:space="preserve">   844359</v>
      </c>
      <c r="B4936" t="s">
        <v>421</v>
      </c>
      <c r="C4936">
        <v>36501336</v>
      </c>
      <c r="D4936">
        <v>79537</v>
      </c>
    </row>
    <row r="4937" spans="1:4" x14ac:dyDescent="0.25">
      <c r="A4937" t="str">
        <f>T("   844360")</f>
        <v xml:space="preserve">   844360</v>
      </c>
      <c r="B4937" t="str">
        <f>T("   Machines auxiliaires pour l'impression fabriquées spécialement pour les machines et appareils à imprimer, pour placer, transporter ou travailler autrement les feuilles de papier ou les bandes continues de papier")</f>
        <v xml:space="preserve">   Machines auxiliaires pour l'impression fabriquées spécialement pour les machines et appareils à imprimer, pour placer, transporter ou travailler autrement les feuilles de papier ou les bandes continues de papier</v>
      </c>
      <c r="C4937">
        <v>20166099</v>
      </c>
      <c r="D4937">
        <v>12011</v>
      </c>
    </row>
    <row r="4938" spans="1:4" x14ac:dyDescent="0.25">
      <c r="A4938" t="str">
        <f>T("   844390")</f>
        <v xml:space="preserve">   844390</v>
      </c>
      <c r="B4938" t="str">
        <f>T("   Parties de machines et appareils à imprimer et de leur machines et appareils auxiliaires, n.d.a.")</f>
        <v xml:space="preserve">   Parties de machines et appareils à imprimer et de leur machines et appareils auxiliaires, n.d.a.</v>
      </c>
      <c r="C4938">
        <v>93665175</v>
      </c>
      <c r="D4938">
        <v>13506.3</v>
      </c>
    </row>
    <row r="4939" spans="1:4" x14ac:dyDescent="0.25">
      <c r="A4939" t="str">
        <f>T("   844400")</f>
        <v xml:space="preserve">   844400</v>
      </c>
      <c r="B4939" t="str">
        <f>T("   Machines pour le filage -extrusion-, l'étirage, la texturation ou le tranchage des matières textiles synthétiques ou artificielles")</f>
        <v xml:space="preserve">   Machines pour le filage -extrusion-, l'étirage, la texturation ou le tranchage des matières textiles synthétiques ou artificielles</v>
      </c>
      <c r="C4939">
        <v>9831948</v>
      </c>
      <c r="D4939">
        <v>2048</v>
      </c>
    </row>
    <row r="4940" spans="1:4" x14ac:dyDescent="0.25">
      <c r="A4940" t="str">
        <f>T("   844590")</f>
        <v xml:space="preserve">   844590</v>
      </c>
      <c r="B4940" t="s">
        <v>422</v>
      </c>
      <c r="C4940">
        <v>722212</v>
      </c>
      <c r="D4940">
        <v>63</v>
      </c>
    </row>
    <row r="4941" spans="1:4" x14ac:dyDescent="0.25">
      <c r="A4941" t="str">
        <f>T("   844790")</f>
        <v xml:space="preserve">   844790</v>
      </c>
      <c r="B4941" t="str">
        <f>T("   Machines et métiers à guipure, à tulle, à dentelle, à broderie, à passementerie, à tresses, à filet ou à touffeter (sauf couso-brodeurs)")</f>
        <v xml:space="preserve">   Machines et métiers à guipure, à tulle, à dentelle, à broderie, à passementerie, à tresses, à filet ou à touffeter (sauf couso-brodeurs)</v>
      </c>
      <c r="C4941">
        <v>952454</v>
      </c>
      <c r="D4941">
        <v>350</v>
      </c>
    </row>
    <row r="4942" spans="1:4" x14ac:dyDescent="0.25">
      <c r="A4942" t="str">
        <f>T("   844819")</f>
        <v xml:space="preserve">   844819</v>
      </c>
      <c r="B4942" t="str">
        <f>T("   Machines et appareils auxiliaires pour machines du n° 8444, 8445, 8446 ou 8447 (sauf ratières -mécaniques d'armes- et mécaniques Jacquard, réducteurs, perforatrices et copieuses de cartons, machines à lacer les cartons après perforation)")</f>
        <v xml:space="preserve">   Machines et appareils auxiliaires pour machines du n° 8444, 8445, 8446 ou 8447 (sauf ratières -mécaniques d'armes- et mécaniques Jacquard, réducteurs, perforatrices et copieuses de cartons, machines à lacer les cartons après perforation)</v>
      </c>
      <c r="C4942">
        <v>1543605</v>
      </c>
      <c r="D4942">
        <v>120</v>
      </c>
    </row>
    <row r="4943" spans="1:4" x14ac:dyDescent="0.25">
      <c r="A4943" t="str">
        <f>T("   844820")</f>
        <v xml:space="preserve">   844820</v>
      </c>
      <c r="B4943" t="str">
        <f>T("   Parties et accessoires des machines pour le filage -extrusion-, l'étirage, la texturation ou le tranchage des matières textiles synthétiques ou artificielles ou de leurs machines et appareils auxiliaires, n.d.a.")</f>
        <v xml:space="preserve">   Parties et accessoires des machines pour le filage -extrusion-, l'étirage, la texturation ou le tranchage des matières textiles synthétiques ou artificielles ou de leurs machines et appareils auxiliaires, n.d.a.</v>
      </c>
      <c r="C4943">
        <v>11005500</v>
      </c>
      <c r="D4943">
        <v>3186</v>
      </c>
    </row>
    <row r="4944" spans="1:4" x14ac:dyDescent="0.25">
      <c r="A4944" t="str">
        <f>T("   844832")</f>
        <v xml:space="preserve">   844832</v>
      </c>
      <c r="B4944" t="str">
        <f>T("   PARTIES ET ACCESSOIRES DE MACHINES POUR LA PRÉPARATION DES MATIÈRES TEXTILES, N.D.A. (AUTRES QUE LES GARNITURES DE CARDÉS)")</f>
        <v xml:space="preserve">   PARTIES ET ACCESSOIRES DE MACHINES POUR LA PRÉPARATION DES MATIÈRES TEXTILES, N.D.A. (AUTRES QUE LES GARNITURES DE CARDÉS)</v>
      </c>
      <c r="C4944">
        <v>145006001</v>
      </c>
      <c r="D4944">
        <v>7208</v>
      </c>
    </row>
    <row r="4945" spans="1:4" x14ac:dyDescent="0.25">
      <c r="A4945" t="str">
        <f>T("   844839")</f>
        <v xml:space="preserve">   844839</v>
      </c>
      <c r="B4945" t="str">
        <f>T("   Parties et accessoires des machines du n° 8445, n.d.a.")</f>
        <v xml:space="preserve">   Parties et accessoires des machines du n° 8445, n.d.a.</v>
      </c>
      <c r="C4945">
        <v>55821291</v>
      </c>
      <c r="D4945">
        <v>2137</v>
      </c>
    </row>
    <row r="4946" spans="1:4" x14ac:dyDescent="0.25">
      <c r="A4946" t="str">
        <f>T("   844842")</f>
        <v xml:space="preserve">   844842</v>
      </c>
      <c r="B4946" t="str">
        <f>T("   PEIGNÉS, LISSES ET CADRES DE LISSES POUR MÉTIERS À TISSER")</f>
        <v xml:space="preserve">   PEIGNÉS, LISSES ET CADRES DE LISSES POUR MÉTIERS À TISSER</v>
      </c>
      <c r="C4946">
        <v>1583487</v>
      </c>
      <c r="D4946">
        <v>57</v>
      </c>
    </row>
    <row r="4947" spans="1:4" x14ac:dyDescent="0.25">
      <c r="A4947" t="str">
        <f>T("   845011")</f>
        <v xml:space="preserve">   845011</v>
      </c>
      <c r="B4947" t="str">
        <f>T("   Machines à laver le linge entièrement automatiques, d'une capacité unitaire exprimée en poids de linge sec &lt;= 6 kg")</f>
        <v xml:space="preserve">   Machines à laver le linge entièrement automatiques, d'une capacité unitaire exprimée en poids de linge sec &lt;= 6 kg</v>
      </c>
      <c r="C4947">
        <v>7858974</v>
      </c>
      <c r="D4947">
        <v>3705</v>
      </c>
    </row>
    <row r="4948" spans="1:4" x14ac:dyDescent="0.25">
      <c r="A4948" t="str">
        <f>T("   845019")</f>
        <v xml:space="preserve">   845019</v>
      </c>
      <c r="B4948"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4948">
        <v>1813053</v>
      </c>
      <c r="D4948">
        <v>4820</v>
      </c>
    </row>
    <row r="4949" spans="1:4" x14ac:dyDescent="0.25">
      <c r="A4949" t="str">
        <f>T("   845020")</f>
        <v xml:space="preserve">   845020</v>
      </c>
      <c r="B4949" t="str">
        <f>T("   Machines à laver le linge, capacité unitaire en poids de linge sec &gt; 10 kg")</f>
        <v xml:space="preserve">   Machines à laver le linge, capacité unitaire en poids de linge sec &gt; 10 kg</v>
      </c>
      <c r="C4949">
        <v>104619</v>
      </c>
      <c r="D4949">
        <v>150</v>
      </c>
    </row>
    <row r="4950" spans="1:4" x14ac:dyDescent="0.25">
      <c r="A4950" t="str">
        <f>T("   845090")</f>
        <v xml:space="preserve">   845090</v>
      </c>
      <c r="B4950" t="str">
        <f>T("   Parties de machines à laver le linge, n.d.a.")</f>
        <v xml:space="preserve">   Parties de machines à laver le linge, n.d.a.</v>
      </c>
      <c r="C4950">
        <v>151533</v>
      </c>
      <c r="D4950">
        <v>4</v>
      </c>
    </row>
    <row r="4951" spans="1:4" x14ac:dyDescent="0.25">
      <c r="A4951" t="str">
        <f>T("   845121")</f>
        <v xml:space="preserve">   845121</v>
      </c>
      <c r="B4951" t="str">
        <f>T("   Machines à sécher, capacité unitaire en poids de linge sec &lt;= 10 kg (à l'excl. des essoreuses centrifuges)")</f>
        <v xml:space="preserve">   Machines à sécher, capacité unitaire en poids de linge sec &lt;= 10 kg (à l'excl. des essoreuses centrifuges)</v>
      </c>
      <c r="C4951">
        <v>1033380</v>
      </c>
      <c r="D4951">
        <v>186</v>
      </c>
    </row>
    <row r="4952" spans="1:4" x14ac:dyDescent="0.25">
      <c r="A4952" t="str">
        <f>T("   845129")</f>
        <v xml:space="preserve">   845129</v>
      </c>
      <c r="B4952" t="str">
        <f>T("   Machines et appareils à sécher les fils, les tissus ou autres ouvrages en matières textiles ( à l'excl. des machines à sécher d'une capacité unitaire en poids de linge sec &lt;= 10 kg et sauf essoreuses centrifuges)")</f>
        <v xml:space="preserve">   Machines et appareils à sécher les fils, les tissus ou autres ouvrages en matières textiles ( à l'excl. des machines à sécher d'une capacité unitaire en poids de linge sec &lt;= 10 kg et sauf essoreuses centrifuges)</v>
      </c>
      <c r="C4952">
        <v>81995</v>
      </c>
      <c r="D4952">
        <v>25</v>
      </c>
    </row>
    <row r="4953" spans="1:4" x14ac:dyDescent="0.25">
      <c r="A4953" t="str">
        <f>T("   845130")</f>
        <v xml:space="preserve">   845130</v>
      </c>
      <c r="B4953" t="str">
        <f>T("   Machines et presses à repasser, y.c. les presses à fixer (à l'excl. des calandres à catir ou à repasser)")</f>
        <v xml:space="preserve">   Machines et presses à repasser, y.c. les presses à fixer (à l'excl. des calandres à catir ou à repasser)</v>
      </c>
      <c r="C4953">
        <v>1728455</v>
      </c>
      <c r="D4953">
        <v>158</v>
      </c>
    </row>
    <row r="4954" spans="1:4" x14ac:dyDescent="0.25">
      <c r="A4954" t="str">
        <f>T("   845180")</f>
        <v xml:space="preserve">   845180</v>
      </c>
      <c r="B4954" t="s">
        <v>423</v>
      </c>
      <c r="C4954">
        <v>196788</v>
      </c>
      <c r="D4954">
        <v>200</v>
      </c>
    </row>
    <row r="4955" spans="1:4" x14ac:dyDescent="0.25">
      <c r="A4955" t="str">
        <f>T("   845210")</f>
        <v xml:space="preserve">   845210</v>
      </c>
      <c r="B4955" t="str">
        <f>T("   Machines à coudre de type ménager")</f>
        <v xml:space="preserve">   Machines à coudre de type ménager</v>
      </c>
      <c r="C4955">
        <v>2395207</v>
      </c>
      <c r="D4955">
        <v>7849.14</v>
      </c>
    </row>
    <row r="4956" spans="1:4" x14ac:dyDescent="0.25">
      <c r="A4956" t="str">
        <f>T("   845229")</f>
        <v xml:space="preserve">   845229</v>
      </c>
      <c r="B4956" t="str">
        <f>T("   Machines à coudre de type industriel (sauf unités automatiques)")</f>
        <v xml:space="preserve">   Machines à coudre de type industriel (sauf unités automatiques)</v>
      </c>
      <c r="C4956">
        <v>1184679</v>
      </c>
      <c r="D4956">
        <v>380</v>
      </c>
    </row>
    <row r="4957" spans="1:4" x14ac:dyDescent="0.25">
      <c r="A4957" t="str">
        <f>T("   845522")</f>
        <v xml:space="preserve">   845522</v>
      </c>
      <c r="B4957" t="str">
        <f>T("   Laminoirs à métaux à froid (autres qu'à tubes)")</f>
        <v xml:space="preserve">   Laminoirs à métaux à froid (autres qu'à tubes)</v>
      </c>
      <c r="C4957">
        <v>4560234</v>
      </c>
      <c r="D4957">
        <v>460</v>
      </c>
    </row>
    <row r="4958" spans="1:4" x14ac:dyDescent="0.25">
      <c r="A4958" t="str">
        <f>T("   845590")</f>
        <v xml:space="preserve">   845590</v>
      </c>
      <c r="B4958" t="str">
        <f>T("   Parties de laminoirs à métaux, n.d.a.")</f>
        <v xml:space="preserve">   Parties de laminoirs à métaux, n.d.a.</v>
      </c>
      <c r="C4958">
        <v>4090566</v>
      </c>
      <c r="D4958">
        <v>410</v>
      </c>
    </row>
    <row r="4959" spans="1:4" x14ac:dyDescent="0.25">
      <c r="A4959" t="str">
        <f>T("   845699")</f>
        <v xml:space="preserve">   845699</v>
      </c>
      <c r="B4959" t="s">
        <v>425</v>
      </c>
      <c r="C4959">
        <v>490000</v>
      </c>
      <c r="D4959">
        <v>150</v>
      </c>
    </row>
    <row r="4960" spans="1:4" x14ac:dyDescent="0.25">
      <c r="A4960" t="str">
        <f>T("   845720")</f>
        <v xml:space="preserve">   845720</v>
      </c>
      <c r="B4960" t="str">
        <f>T("   Machines à poste fixe pour le travail des métaux")</f>
        <v xml:space="preserve">   Machines à poste fixe pour le travail des métaux</v>
      </c>
      <c r="C4960">
        <v>962949</v>
      </c>
      <c r="D4960">
        <v>30</v>
      </c>
    </row>
    <row r="4961" spans="1:4" x14ac:dyDescent="0.25">
      <c r="A4961" t="str">
        <f>T("   845899")</f>
        <v xml:space="preserve">   845899</v>
      </c>
      <c r="B4961" t="s">
        <v>426</v>
      </c>
      <c r="C4961">
        <v>1890221</v>
      </c>
      <c r="D4961">
        <v>2290</v>
      </c>
    </row>
    <row r="4962" spans="1:4" x14ac:dyDescent="0.25">
      <c r="A4962" t="str">
        <f>T("   845929")</f>
        <v xml:space="preserve">   845929</v>
      </c>
      <c r="B4962" t="s">
        <v>427</v>
      </c>
      <c r="C4962">
        <v>275503</v>
      </c>
      <c r="D4962">
        <v>485</v>
      </c>
    </row>
    <row r="4963" spans="1:4" x14ac:dyDescent="0.25">
      <c r="A4963" t="str">
        <f>T("   845939")</f>
        <v xml:space="preserve">   845939</v>
      </c>
      <c r="B4963" t="str">
        <f>T("   Aléseuses-fraiseuses combinées pour métaux, opérant par enlèvement de matières (autres qu'à commande numérique et sauf unités d'usinage à glissières)")</f>
        <v xml:space="preserve">   Aléseuses-fraiseuses combinées pour métaux, opérant par enlèvement de matières (autres qu'à commande numérique et sauf unités d'usinage à glissières)</v>
      </c>
      <c r="C4963">
        <v>1557905</v>
      </c>
      <c r="D4963">
        <v>1020</v>
      </c>
    </row>
    <row r="4964" spans="1:4" x14ac:dyDescent="0.25">
      <c r="A4964" t="str">
        <f>T("   845940")</f>
        <v xml:space="preserve">   845940</v>
      </c>
      <c r="B4964" t="str">
        <f>T("   Machines à aléser les métaux par enlèvement de matières (sauf unités d'usinage à glissières et aléseuses-fraiseuses combinées)")</f>
        <v xml:space="preserve">   Machines à aléser les métaux par enlèvement de matières (sauf unités d'usinage à glissières et aléseuses-fraiseuses combinées)</v>
      </c>
      <c r="C4964">
        <v>1360461</v>
      </c>
      <c r="D4964">
        <v>2434</v>
      </c>
    </row>
    <row r="4965" spans="1:4" x14ac:dyDescent="0.25">
      <c r="A4965" t="str">
        <f>T("   845969")</f>
        <v xml:space="preserve">   845969</v>
      </c>
      <c r="B4965" t="str">
        <f>T("   Machines à fraiser les métaux par enlèvement de matières (autres qu'à commande numérique et sauf unités d'usinage à glissières, aléseuses-fraiseuses combinées, machines à fraiser à console et machines à tailler les engrenages)")</f>
        <v xml:space="preserve">   Machines à fraiser les métaux par enlèvement de matières (autres qu'à commande numérique et sauf unités d'usinage à glissières, aléseuses-fraiseuses combinées, machines à fraiser à console et machines à tailler les engrenages)</v>
      </c>
      <c r="C4965">
        <v>1385388</v>
      </c>
      <c r="D4965">
        <v>2476</v>
      </c>
    </row>
    <row r="4966" spans="1:4" x14ac:dyDescent="0.25">
      <c r="A4966" t="str">
        <f>T("   846021")</f>
        <v xml:space="preserve">   846021</v>
      </c>
      <c r="B4966" t="str">
        <f>T("   Machines à rectifier, dont le positionnement dans un des axes peut être réglé à au moins 0,01 mm près, à commande numérique, pour le travail des métaux (autres que machines à rectifier les surfaces planes et sauf machines à finir les engrenages)")</f>
        <v xml:space="preserve">   Machines à rectifier, dont le positionnement dans un des axes peut être réglé à au moins 0,01 mm près, à commande numérique, pour le travail des métaux (autres que machines à rectifier les surfaces planes et sauf machines à finir les engrenages)</v>
      </c>
      <c r="C4966">
        <v>10159686</v>
      </c>
      <c r="D4966">
        <v>695</v>
      </c>
    </row>
    <row r="4967" spans="1:4" x14ac:dyDescent="0.25">
      <c r="A4967" t="str">
        <f>T("   846090")</f>
        <v xml:space="preserve">   846090</v>
      </c>
      <c r="B4967" t="s">
        <v>428</v>
      </c>
      <c r="C4967">
        <v>1130875</v>
      </c>
      <c r="D4967">
        <v>38</v>
      </c>
    </row>
    <row r="4968" spans="1:4" x14ac:dyDescent="0.25">
      <c r="A4968" t="str">
        <f>T("   846120")</f>
        <v xml:space="preserve">   846120</v>
      </c>
      <c r="B4968" t="str">
        <f>T("   Etaux-limeurs et machines à mortaiser, pour le travail des métaux")</f>
        <v xml:space="preserve">   Etaux-limeurs et machines à mortaiser, pour le travail des métaux</v>
      </c>
      <c r="C4968">
        <v>1633341</v>
      </c>
      <c r="D4968">
        <v>3995</v>
      </c>
    </row>
    <row r="4969" spans="1:4" x14ac:dyDescent="0.25">
      <c r="A4969" t="str">
        <f>T("   846150")</f>
        <v xml:space="preserve">   846150</v>
      </c>
      <c r="B4969" t="str">
        <f>T("   Machines à scier ou à tronçonner, pour le travail des métaux (autres que l'outillage à main)")</f>
        <v xml:space="preserve">   Machines à scier ou à tronçonner, pour le travail des métaux (autres que l'outillage à main)</v>
      </c>
      <c r="C4969">
        <v>488034</v>
      </c>
      <c r="D4969">
        <v>300</v>
      </c>
    </row>
    <row r="4970" spans="1:4" x14ac:dyDescent="0.25">
      <c r="A4970" t="str">
        <f>T("   846190")</f>
        <v xml:space="preserve">   846190</v>
      </c>
      <c r="B4970" t="str">
        <f>T("   Machines à raboter et autres machines-outils travaillant par enlèvement de métal, n.d.a.")</f>
        <v xml:space="preserve">   Machines à raboter et autres machines-outils travaillant par enlèvement de métal, n.d.a.</v>
      </c>
      <c r="C4970">
        <v>3611716</v>
      </c>
      <c r="D4970">
        <v>40</v>
      </c>
    </row>
    <row r="4971" spans="1:4" x14ac:dyDescent="0.25">
      <c r="A4971" t="str">
        <f>T("   846210")</f>
        <v xml:space="preserve">   846210</v>
      </c>
      <c r="B4971" t="str">
        <f>T("   Machines, y.c. -les presses-, à forger ou à estamper, moutons, marteaux-pilons et martinets, pour le travail des métaux")</f>
        <v xml:space="preserve">   Machines, y.c. -les presses-, à forger ou à estamper, moutons, marteaux-pilons et martinets, pour le travail des métaux</v>
      </c>
      <c r="C4971">
        <v>14430347</v>
      </c>
      <c r="D4971">
        <v>7327</v>
      </c>
    </row>
    <row r="4972" spans="1:4" x14ac:dyDescent="0.25">
      <c r="A4972" t="str">
        <f>T("   846291")</f>
        <v xml:space="preserve">   846291</v>
      </c>
      <c r="B4972" t="str">
        <f>T("   Presses hydrauliques pour le travail des métaux ou des carbures métalliques (à l'excl. des presses à forger, à rouler, à cintrer, à dresses ou à planer)")</f>
        <v xml:space="preserve">   Presses hydrauliques pour le travail des métaux ou des carbures métalliques (à l'excl. des presses à forger, à rouler, à cintrer, à dresses ou à planer)</v>
      </c>
      <c r="C4972">
        <v>4835737</v>
      </c>
      <c r="D4972">
        <v>750</v>
      </c>
    </row>
    <row r="4973" spans="1:4" x14ac:dyDescent="0.25">
      <c r="A4973" t="str">
        <f>T("   846299")</f>
        <v xml:space="preserve">   846299</v>
      </c>
      <c r="B4973" t="str">
        <f>T("   Presses autres qu'hydrauliques pour le travail des métaux (à l'excl. des presses à forger, à rouler, à cintrer, dresser ou planer)")</f>
        <v xml:space="preserve">   Presses autres qu'hydrauliques pour le travail des métaux (à l'excl. des presses à forger, à rouler, à cintrer, dresser ou planer)</v>
      </c>
      <c r="C4973">
        <v>1681881</v>
      </c>
      <c r="D4973">
        <v>1284</v>
      </c>
    </row>
    <row r="4974" spans="1:4" x14ac:dyDescent="0.25">
      <c r="A4974" t="str">
        <f>T("   846390")</f>
        <v xml:space="preserve">   846390</v>
      </c>
      <c r="B4974" t="s">
        <v>429</v>
      </c>
      <c r="C4974">
        <v>195476</v>
      </c>
      <c r="D4974">
        <v>37</v>
      </c>
    </row>
    <row r="4975" spans="1:4" x14ac:dyDescent="0.25">
      <c r="A4975" t="str">
        <f>T("   846410")</f>
        <v xml:space="preserve">   846410</v>
      </c>
      <c r="B4975" t="str">
        <f>T("   Machines à scier pour le travail de la pierre, des produits céramiques, du béton, de l'amiante-ciment ou de matières minérales simil., ou pour le travail à froid du verre (à l'excl. des machines pour emploi à la main)")</f>
        <v xml:space="preserve">   Machines à scier pour le travail de la pierre, des produits céramiques, du béton, de l'amiante-ciment ou de matières minérales simil., ou pour le travail à froid du verre (à l'excl. des machines pour emploi à la main)</v>
      </c>
      <c r="C4975">
        <v>1529043</v>
      </c>
      <c r="D4975">
        <v>19</v>
      </c>
    </row>
    <row r="4976" spans="1:4" x14ac:dyDescent="0.25">
      <c r="A4976" t="str">
        <f>T("   846599")</f>
        <v xml:space="preserve">   846599</v>
      </c>
      <c r="B4976" t="s">
        <v>431</v>
      </c>
      <c r="C4976">
        <v>1108634</v>
      </c>
      <c r="D4976">
        <v>1720</v>
      </c>
    </row>
    <row r="4977" spans="1:4" x14ac:dyDescent="0.25">
      <c r="A4977" t="str">
        <f>T("   846691")</f>
        <v xml:space="preserve">   846691</v>
      </c>
      <c r="B4977" t="str">
        <f>T("   Parties et accessoires pour machines-outils pour le travail de la pierre, des produits céramiques, du béton, etc., y.c. le travail à froid du verre, n.d.a.")</f>
        <v xml:space="preserve">   Parties et accessoires pour machines-outils pour le travail de la pierre, des produits céramiques, du béton, etc., y.c. le travail à froid du verre, n.d.a.</v>
      </c>
      <c r="C4977">
        <v>700000</v>
      </c>
      <c r="D4977">
        <v>500</v>
      </c>
    </row>
    <row r="4978" spans="1:4" x14ac:dyDescent="0.25">
      <c r="A4978" t="str">
        <f>T("   846693")</f>
        <v xml:space="preserve">   846693</v>
      </c>
      <c r="B4978" t="str">
        <f>T("   Parties et accessoires pour machines-outils pour le travail du métal avec enlèvement de métal, n.d.a.")</f>
        <v xml:space="preserve">   Parties et accessoires pour machines-outils pour le travail du métal avec enlèvement de métal, n.d.a.</v>
      </c>
      <c r="C4978">
        <v>1906220</v>
      </c>
      <c r="D4978">
        <v>19</v>
      </c>
    </row>
    <row r="4979" spans="1:4" x14ac:dyDescent="0.25">
      <c r="A4979" t="str">
        <f>T("   846694")</f>
        <v xml:space="preserve">   846694</v>
      </c>
      <c r="B4979" t="str">
        <f>T("   Parties et accessoires pour machines-outils pour le travail du métal avec enlèvement de matière, n.d.a.")</f>
        <v xml:space="preserve">   Parties et accessoires pour machines-outils pour le travail du métal avec enlèvement de matière, n.d.a.</v>
      </c>
      <c r="C4979">
        <v>2637106</v>
      </c>
      <c r="D4979">
        <v>151</v>
      </c>
    </row>
    <row r="4980" spans="1:4" x14ac:dyDescent="0.25">
      <c r="A4980" t="str">
        <f>T("   846719")</f>
        <v xml:space="preserve">   846719</v>
      </c>
      <c r="B4980" t="str">
        <f>T("   OUTILS PNEUMATIQUES, POUR EMPLOI À LA MAIN (À L'EXCL. DES OUTILS ROTATIFS) [01/01/1988-31/12/1994: OUTILS PNEUMATIQUES POUR EMPLOI A LA MAIN, AUTRES QUE ROTATIFS]")</f>
        <v xml:space="preserve">   OUTILS PNEUMATIQUES, POUR EMPLOI À LA MAIN (À L'EXCL. DES OUTILS ROTATIFS) [01/01/1988-31/12/1994: OUTILS PNEUMATIQUES POUR EMPLOI A LA MAIN, AUTRES QUE ROTATIFS]</v>
      </c>
      <c r="C4980">
        <v>1474909</v>
      </c>
      <c r="D4980">
        <v>97</v>
      </c>
    </row>
    <row r="4981" spans="1:4" x14ac:dyDescent="0.25">
      <c r="A4981" t="str">
        <f>T("   846721")</f>
        <v xml:space="preserve">   846721</v>
      </c>
      <c r="B4981" t="str">
        <f>T("   Perceuses à moteur électrique incorporé, pour emploi à la main, y.c. les perforatrices rotatives")</f>
        <v xml:space="preserve">   Perceuses à moteur électrique incorporé, pour emploi à la main, y.c. les perforatrices rotatives</v>
      </c>
      <c r="C4981">
        <v>4801425</v>
      </c>
      <c r="D4981">
        <v>485.25</v>
      </c>
    </row>
    <row r="4982" spans="1:4" x14ac:dyDescent="0.25">
      <c r="A4982" t="str">
        <f>T("   846722")</f>
        <v xml:space="preserve">   846722</v>
      </c>
      <c r="B4982" t="str">
        <f>T("   Scies et tronçonneuses, à moteur électrique incorporé, pour emploi à la main")</f>
        <v xml:space="preserve">   Scies et tronçonneuses, à moteur électrique incorporé, pour emploi à la main</v>
      </c>
      <c r="C4982">
        <v>5907818</v>
      </c>
      <c r="D4982">
        <v>1869.25</v>
      </c>
    </row>
    <row r="4983" spans="1:4" x14ac:dyDescent="0.25">
      <c r="A4983" t="str">
        <f>T("   846729")</f>
        <v xml:space="preserve">   846729</v>
      </c>
      <c r="B4983" t="str">
        <f>T("   Outils électromécaniques à moteur électrique incorporé, pour emploi à la main (autres que scies et perceuses)")</f>
        <v xml:space="preserve">   Outils électromécaniques à moteur électrique incorporé, pour emploi à la main (autres que scies et perceuses)</v>
      </c>
      <c r="C4983">
        <v>6717024</v>
      </c>
      <c r="D4983">
        <v>3195.6</v>
      </c>
    </row>
    <row r="4984" spans="1:4" x14ac:dyDescent="0.25">
      <c r="A4984" t="str">
        <f>T("   846789")</f>
        <v xml:space="preserve">   846789</v>
      </c>
      <c r="B4984"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4984">
        <v>5748178</v>
      </c>
      <c r="D4984">
        <v>457</v>
      </c>
    </row>
    <row r="4985" spans="1:4" x14ac:dyDescent="0.25">
      <c r="A4985" t="str">
        <f>T("   846792")</f>
        <v xml:space="preserve">   846792</v>
      </c>
      <c r="B4985" t="str">
        <f>T("   Parties d'outils pneumatiques pour emploi à la main, n.d.a.")</f>
        <v xml:space="preserve">   Parties d'outils pneumatiques pour emploi à la main, n.d.a.</v>
      </c>
      <c r="C4985">
        <v>1161049</v>
      </c>
      <c r="D4985">
        <v>70</v>
      </c>
    </row>
    <row r="4986" spans="1:4" x14ac:dyDescent="0.25">
      <c r="A4986" t="str">
        <f>T("   846799")</f>
        <v xml:space="preserve">   846799</v>
      </c>
      <c r="B4986" t="str">
        <f>T("   Parties d'outils pour emploi à la main, hydrauliques ou à moteur électrique ou non électrique incorporé, n.d.a.")</f>
        <v xml:space="preserve">   Parties d'outils pour emploi à la main, hydrauliques ou à moteur électrique ou non électrique incorporé, n.d.a.</v>
      </c>
      <c r="C4986">
        <v>4658877</v>
      </c>
      <c r="D4986">
        <v>615</v>
      </c>
    </row>
    <row r="4987" spans="1:4" x14ac:dyDescent="0.25">
      <c r="A4987" t="str">
        <f>T("   846810")</f>
        <v xml:space="preserve">   846810</v>
      </c>
      <c r="B4987" t="str">
        <f>T("   Chalumeaux guidés à la main pour le brasage ou le soudage aux gaz")</f>
        <v xml:space="preserve">   Chalumeaux guidés à la main pour le brasage ou le soudage aux gaz</v>
      </c>
      <c r="C4987">
        <v>3212102</v>
      </c>
      <c r="D4987">
        <v>499.1</v>
      </c>
    </row>
    <row r="4988" spans="1:4" x14ac:dyDescent="0.25">
      <c r="A4988" t="str">
        <f>T("   846880")</f>
        <v xml:space="preserve">   846880</v>
      </c>
      <c r="B4988" t="str">
        <f>T("   Machines et appareils pour le brasage ou le soudage (autres qu'aux gaz et à l'excl. des machines ou appareils pour le brasage ou le soudage électriques du n° 8515)")</f>
        <v xml:space="preserve">   Machines et appareils pour le brasage ou le soudage (autres qu'aux gaz et à l'excl. des machines ou appareils pour le brasage ou le soudage électriques du n° 8515)</v>
      </c>
      <c r="C4988">
        <v>396200</v>
      </c>
      <c r="D4988">
        <v>709</v>
      </c>
    </row>
    <row r="4989" spans="1:4" x14ac:dyDescent="0.25">
      <c r="A4989" t="str">
        <f>T("   846890")</f>
        <v xml:space="preserve">   846890</v>
      </c>
      <c r="B4989" t="str">
        <f>T("   Parties de machines et appareils pour le brasage, le soudage, la trempe artificielle non-électriques, n.d.a.")</f>
        <v xml:space="preserve">   Parties de machines et appareils pour le brasage, le soudage, la trempe artificielle non-électriques, n.d.a.</v>
      </c>
      <c r="C4989">
        <v>4996665</v>
      </c>
      <c r="D4989">
        <v>782.78</v>
      </c>
    </row>
    <row r="4990" spans="1:4" x14ac:dyDescent="0.25">
      <c r="A4990" t="str">
        <f>T("   846911")</f>
        <v xml:space="preserve">   846911</v>
      </c>
      <c r="B4990" t="str">
        <f>T("   Machines pour le traitement des textes (à l'excl. des machines automatiques de traitement de l'information et de leurs unités du n° 8471, ainsi que des imprimantes au laser, des imprimantes thermiques et des imprimantes électrosensibles)")</f>
        <v xml:space="preserve">   Machines pour le traitement des textes (à l'excl. des machines automatiques de traitement de l'information et de leurs unités du n° 8471, ainsi que des imprimantes au laser, des imprimantes thermiques et des imprimantes électrosensibles)</v>
      </c>
      <c r="C4990">
        <v>34307</v>
      </c>
      <c r="D4990">
        <v>50</v>
      </c>
    </row>
    <row r="4991" spans="1:4" x14ac:dyDescent="0.25">
      <c r="A4991" t="str">
        <f>T("   846912")</f>
        <v xml:space="preserve">   846912</v>
      </c>
      <c r="B4991" t="s">
        <v>432</v>
      </c>
      <c r="C4991">
        <v>2895407</v>
      </c>
      <c r="D4991">
        <v>268.64</v>
      </c>
    </row>
    <row r="4992" spans="1:4" x14ac:dyDescent="0.25">
      <c r="A4992" t="str">
        <f>T("   847010")</f>
        <v xml:space="preserve">   847010</v>
      </c>
      <c r="B4992" t="s">
        <v>433</v>
      </c>
      <c r="C4992">
        <v>3936320</v>
      </c>
      <c r="D4992">
        <v>520</v>
      </c>
    </row>
    <row r="4993" spans="1:4" x14ac:dyDescent="0.25">
      <c r="A4993" t="str">
        <f>T("   847030")</f>
        <v xml:space="preserve">   847030</v>
      </c>
      <c r="B4993" t="str">
        <f>T("   Machines à calculer autres qu'électroniques")</f>
        <v xml:space="preserve">   Machines à calculer autres qu'électroniques</v>
      </c>
      <c r="C4993">
        <v>1977785</v>
      </c>
      <c r="D4993">
        <v>113</v>
      </c>
    </row>
    <row r="4994" spans="1:4" x14ac:dyDescent="0.25">
      <c r="A4994" t="str">
        <f>T("   847090")</f>
        <v xml:space="preserve">   847090</v>
      </c>
      <c r="B4994" t="str">
        <f>T("   Machines à affranchir, à établir les tickets et simil., avec dispositif de calcul (à l'excl. des machines comptables, des caisses enregistreuses et des distributeurs automatiques)")</f>
        <v xml:space="preserve">   Machines à affranchir, à établir les tickets et simil., avec dispositif de calcul (à l'excl. des machines comptables, des caisses enregistreuses et des distributeurs automatiques)</v>
      </c>
      <c r="C4994">
        <v>3296199</v>
      </c>
      <c r="D4994">
        <v>2397</v>
      </c>
    </row>
    <row r="4995" spans="1:4" x14ac:dyDescent="0.25">
      <c r="A4995" t="str">
        <f>T("   847110")</f>
        <v xml:space="preserve">   847110</v>
      </c>
      <c r="B4995" t="str">
        <f>T("   Machines automatiques de traitement de l'information, analogiques ou hybrides")</f>
        <v xml:space="preserve">   Machines automatiques de traitement de l'information, analogiques ou hybrides</v>
      </c>
      <c r="C4995">
        <v>3315031</v>
      </c>
      <c r="D4995">
        <v>3873</v>
      </c>
    </row>
    <row r="4996" spans="1:4" x14ac:dyDescent="0.25">
      <c r="A4996" t="str">
        <f>T("   847130")</f>
        <v xml:space="preserve">   847130</v>
      </c>
      <c r="B4996"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4996">
        <v>51762833</v>
      </c>
      <c r="D4996">
        <v>2301.13</v>
      </c>
    </row>
    <row r="4997" spans="1:4" x14ac:dyDescent="0.25">
      <c r="A4997" t="str">
        <f>T("   847141")</f>
        <v xml:space="preserve">   847141</v>
      </c>
      <c r="B4997" t="s">
        <v>434</v>
      </c>
      <c r="C4997">
        <v>142737278</v>
      </c>
      <c r="D4997">
        <v>11019</v>
      </c>
    </row>
    <row r="4998" spans="1:4" x14ac:dyDescent="0.25">
      <c r="A4998" t="str">
        <f>T("   847149")</f>
        <v xml:space="preserve">   847149</v>
      </c>
      <c r="B4998" t="s">
        <v>435</v>
      </c>
      <c r="C4998">
        <v>592162574</v>
      </c>
      <c r="D4998">
        <v>76429</v>
      </c>
    </row>
    <row r="4999" spans="1:4" x14ac:dyDescent="0.25">
      <c r="A4999" t="str">
        <f>T("   847150")</f>
        <v xml:space="preserve">   847150</v>
      </c>
      <c r="B4999" t="s">
        <v>436</v>
      </c>
      <c r="C4999">
        <v>35167085</v>
      </c>
      <c r="D4999">
        <v>136</v>
      </c>
    </row>
    <row r="5000" spans="1:4" x14ac:dyDescent="0.25">
      <c r="A5000" t="str">
        <f>T("   847160")</f>
        <v xml:space="preserve">   847160</v>
      </c>
      <c r="B5000"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5000">
        <v>14807060</v>
      </c>
      <c r="D5000">
        <v>408</v>
      </c>
    </row>
    <row r="5001" spans="1:4" x14ac:dyDescent="0.25">
      <c r="A5001" t="str">
        <f>T("   847170")</f>
        <v xml:space="preserve">   847170</v>
      </c>
      <c r="B5001" t="str">
        <f>T("   UNITÉS DE MÉMOIRE POUR MACHINES AUTOMATIQUES DE TRAITEMENT DE L'INFORMATION")</f>
        <v xml:space="preserve">   UNITÉS DE MÉMOIRE POUR MACHINES AUTOMATIQUES DE TRAITEMENT DE L'INFORMATION</v>
      </c>
      <c r="C5001">
        <v>25398830</v>
      </c>
      <c r="D5001">
        <v>1676</v>
      </c>
    </row>
    <row r="5002" spans="1:4" x14ac:dyDescent="0.25">
      <c r="A5002" t="str">
        <f>T("   847180")</f>
        <v xml:space="preserve">   847180</v>
      </c>
      <c r="B5002"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5002">
        <v>603019448</v>
      </c>
      <c r="D5002">
        <v>99034.9</v>
      </c>
    </row>
    <row r="5003" spans="1:4" x14ac:dyDescent="0.25">
      <c r="A5003" t="str">
        <f>T("   847190")</f>
        <v xml:space="preserve">   847190</v>
      </c>
      <c r="B500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5003">
        <v>998200418</v>
      </c>
      <c r="D5003">
        <v>111016.4</v>
      </c>
    </row>
    <row r="5004" spans="1:4" x14ac:dyDescent="0.25">
      <c r="A5004" t="str">
        <f>T("   847290")</f>
        <v xml:space="preserve">   847290</v>
      </c>
      <c r="B5004" t="str">
        <f>T("   Machines et appareils de bureau, n.d.a.")</f>
        <v xml:space="preserve">   Machines et appareils de bureau, n.d.a.</v>
      </c>
      <c r="C5004">
        <v>32615400</v>
      </c>
      <c r="D5004">
        <v>23320</v>
      </c>
    </row>
    <row r="5005" spans="1:4" x14ac:dyDescent="0.25">
      <c r="A5005" t="str">
        <f>T("   847310")</f>
        <v xml:space="preserve">   847310</v>
      </c>
      <c r="B5005" t="str">
        <f>T("   Parties et accessoires des machines à écrire ou machines pour le traitement de textes du n° 8469, n.d.a.")</f>
        <v xml:space="preserve">   Parties et accessoires des machines à écrire ou machines pour le traitement de textes du n° 8469, n.d.a.</v>
      </c>
      <c r="C5005">
        <v>1586584</v>
      </c>
      <c r="D5005">
        <v>102</v>
      </c>
    </row>
    <row r="5006" spans="1:4" x14ac:dyDescent="0.25">
      <c r="A5006" t="str">
        <f>T("   847330")</f>
        <v xml:space="preserve">   847330</v>
      </c>
      <c r="B5006" t="str">
        <f>T("   Parties et accessoires pour machines automatiques de traitement de l'information ou pour autres machines du n° 8471, n.d.a.")</f>
        <v xml:space="preserve">   Parties et accessoires pour machines automatiques de traitement de l'information ou pour autres machines du n° 8471, n.d.a.</v>
      </c>
      <c r="C5006">
        <v>80722318</v>
      </c>
      <c r="D5006">
        <v>8221</v>
      </c>
    </row>
    <row r="5007" spans="1:4" x14ac:dyDescent="0.25">
      <c r="A5007" t="str">
        <f>T("   847340")</f>
        <v xml:space="preserve">   847340</v>
      </c>
      <c r="B5007" t="str">
        <f>T("   Parties et accessoires pour autres machines et appareils de bureau du n° 8472, n.d.a.")</f>
        <v xml:space="preserve">   Parties et accessoires pour autres machines et appareils de bureau du n° 8472, n.d.a.</v>
      </c>
      <c r="C5007">
        <v>401695</v>
      </c>
      <c r="D5007">
        <v>300</v>
      </c>
    </row>
    <row r="5008" spans="1:4" x14ac:dyDescent="0.25">
      <c r="A5008" t="str">
        <f>T("   847350")</f>
        <v xml:space="preserve">   847350</v>
      </c>
      <c r="B5008" t="str">
        <f>T("   Parties et accessoires qui peuvent être utilisés indifféremment avec les machines ou appareils de plusieurs du n° 8469 à 8472, n.d.a.")</f>
        <v xml:space="preserve">   Parties et accessoires qui peuvent être utilisés indifféremment avec les machines ou appareils de plusieurs du n° 8469 à 8472, n.d.a.</v>
      </c>
      <c r="C5008">
        <v>1059376</v>
      </c>
      <c r="D5008">
        <v>24</v>
      </c>
    </row>
    <row r="5009" spans="1:4" x14ac:dyDescent="0.25">
      <c r="A5009" t="str">
        <f>T("   847410")</f>
        <v xml:space="preserve">   847410</v>
      </c>
      <c r="B5009" t="str">
        <f>T("   Machines et appareils à trier, cribler, séparer ou laver les matières minérales solides, y.c. -les poudres et les pâtes- (à l'excl. des centrifugeuses et des filtres-presses)")</f>
        <v xml:space="preserve">   Machines et appareils à trier, cribler, séparer ou laver les matières minérales solides, y.c. -les poudres et les pâtes- (à l'excl. des centrifugeuses et des filtres-presses)</v>
      </c>
      <c r="C5009">
        <v>6661274</v>
      </c>
      <c r="D5009">
        <v>6300</v>
      </c>
    </row>
    <row r="5010" spans="1:4" x14ac:dyDescent="0.25">
      <c r="A5010" t="str">
        <f>T("   847431")</f>
        <v xml:space="preserve">   847431</v>
      </c>
      <c r="B5010"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5010">
        <v>782068</v>
      </c>
      <c r="D5010">
        <v>2450</v>
      </c>
    </row>
    <row r="5011" spans="1:4" x14ac:dyDescent="0.25">
      <c r="A5011" t="str">
        <f>T("   847439")</f>
        <v xml:space="preserve">   847439</v>
      </c>
      <c r="B5011"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5011">
        <v>318141</v>
      </c>
      <c r="D5011">
        <v>200</v>
      </c>
    </row>
    <row r="5012" spans="1:4" x14ac:dyDescent="0.25">
      <c r="A5012" t="str">
        <f>T("   847480")</f>
        <v xml:space="preserve">   847480</v>
      </c>
      <c r="B5012" t="s">
        <v>437</v>
      </c>
      <c r="C5012">
        <v>1218118</v>
      </c>
      <c r="D5012">
        <v>835</v>
      </c>
    </row>
    <row r="5013" spans="1:4" x14ac:dyDescent="0.25">
      <c r="A5013" t="str">
        <f>T("   847490")</f>
        <v xml:space="preserve">   847490</v>
      </c>
      <c r="B5013" t="str">
        <f>T("   Parties des machines et appareils pour le travail des matières minérales du n° 8474, n.d.a.")</f>
        <v xml:space="preserve">   Parties des machines et appareils pour le travail des matières minérales du n° 8474, n.d.a.</v>
      </c>
      <c r="C5013">
        <v>88578994</v>
      </c>
      <c r="D5013">
        <v>148407</v>
      </c>
    </row>
    <row r="5014" spans="1:4" x14ac:dyDescent="0.25">
      <c r="A5014" t="str">
        <f>T("   847780")</f>
        <v xml:space="preserve">   847780</v>
      </c>
      <c r="B5014"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5014">
        <v>3607780</v>
      </c>
      <c r="D5014">
        <v>9500</v>
      </c>
    </row>
    <row r="5015" spans="1:4" x14ac:dyDescent="0.25">
      <c r="A5015" t="str">
        <f>T("   847950")</f>
        <v xml:space="preserve">   847950</v>
      </c>
      <c r="B5015" t="str">
        <f>T("   Robots industriels, n.d.a.")</f>
        <v xml:space="preserve">   Robots industriels, n.d.a.</v>
      </c>
      <c r="C5015">
        <v>190228</v>
      </c>
      <c r="D5015">
        <v>28</v>
      </c>
    </row>
    <row r="5016" spans="1:4" x14ac:dyDescent="0.25">
      <c r="A5016" t="str">
        <f>T("   847982")</f>
        <v xml:space="preserve">   847982</v>
      </c>
      <c r="B5016"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5016">
        <v>3204994</v>
      </c>
      <c r="D5016">
        <v>19</v>
      </c>
    </row>
    <row r="5017" spans="1:4" x14ac:dyDescent="0.25">
      <c r="A5017" t="str">
        <f>T("   847989")</f>
        <v xml:space="preserve">   847989</v>
      </c>
      <c r="B5017" t="str">
        <f>T("   Machines et appareils, y.c. les appareils mécaniques, n.d.a.")</f>
        <v xml:space="preserve">   Machines et appareils, y.c. les appareils mécaniques, n.d.a.</v>
      </c>
      <c r="C5017">
        <v>13098865</v>
      </c>
      <c r="D5017">
        <v>2066</v>
      </c>
    </row>
    <row r="5018" spans="1:4" x14ac:dyDescent="0.25">
      <c r="A5018" t="str">
        <f>T("   847990")</f>
        <v xml:space="preserve">   847990</v>
      </c>
      <c r="B5018" t="str">
        <f>T("   Parties de machines et appareils, y.c. les appareils mécaniques, n.d.a.")</f>
        <v xml:space="preserve">   Parties de machines et appareils, y.c. les appareils mécaniques, n.d.a.</v>
      </c>
      <c r="C5018">
        <v>11894024</v>
      </c>
      <c r="D5018">
        <v>1027</v>
      </c>
    </row>
    <row r="5019" spans="1:4" x14ac:dyDescent="0.25">
      <c r="A5019" t="str">
        <f>T("   848010")</f>
        <v xml:space="preserve">   848010</v>
      </c>
      <c r="B5019" t="str">
        <f>T("   Châssis de fonderie")</f>
        <v xml:space="preserve">   Châssis de fonderie</v>
      </c>
      <c r="C5019">
        <v>124633</v>
      </c>
      <c r="D5019">
        <v>6</v>
      </c>
    </row>
    <row r="5020" spans="1:4" x14ac:dyDescent="0.25">
      <c r="A5020" t="str">
        <f>T("   848110")</f>
        <v xml:space="preserve">   848110</v>
      </c>
      <c r="B5020" t="str">
        <f>T("   Détendeurs")</f>
        <v xml:space="preserve">   Détendeurs</v>
      </c>
      <c r="C5020">
        <v>6162935</v>
      </c>
      <c r="D5020">
        <v>1136</v>
      </c>
    </row>
    <row r="5021" spans="1:4" x14ac:dyDescent="0.25">
      <c r="A5021" t="str">
        <f>T("   848120")</f>
        <v xml:space="preserve">   848120</v>
      </c>
      <c r="B5021" t="str">
        <f>T("   Valves pour transmissions oléohydrauliques ou pneumatiques")</f>
        <v xml:space="preserve">   Valves pour transmissions oléohydrauliques ou pneumatiques</v>
      </c>
      <c r="C5021">
        <v>12964224</v>
      </c>
      <c r="D5021">
        <v>1991</v>
      </c>
    </row>
    <row r="5022" spans="1:4" x14ac:dyDescent="0.25">
      <c r="A5022" t="str">
        <f>T("   848130")</f>
        <v xml:space="preserve">   848130</v>
      </c>
      <c r="B5022" t="str">
        <f>T("   Clapets et soupapes de retenue, pour tuyauteries, chaudières, réservoirs, cuves ou contenants simil.")</f>
        <v xml:space="preserve">   Clapets et soupapes de retenue, pour tuyauteries, chaudières, réservoirs, cuves ou contenants simil.</v>
      </c>
      <c r="C5022">
        <v>13561103</v>
      </c>
      <c r="D5022">
        <v>1410</v>
      </c>
    </row>
    <row r="5023" spans="1:4" x14ac:dyDescent="0.25">
      <c r="A5023" t="str">
        <f>T("   848140")</f>
        <v xml:space="preserve">   848140</v>
      </c>
      <c r="B5023" t="str">
        <f>T("   Soupapes de trop-plein ou de sûreté")</f>
        <v xml:space="preserve">   Soupapes de trop-plein ou de sûreté</v>
      </c>
      <c r="C5023">
        <v>6965905</v>
      </c>
      <c r="D5023">
        <v>759</v>
      </c>
    </row>
    <row r="5024" spans="1:4" x14ac:dyDescent="0.25">
      <c r="A5024" t="str">
        <f>T("   848180")</f>
        <v xml:space="preserve">   848180</v>
      </c>
      <c r="B5024"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5024">
        <v>337364421</v>
      </c>
      <c r="D5024">
        <v>81377.5</v>
      </c>
    </row>
    <row r="5025" spans="1:4" x14ac:dyDescent="0.25">
      <c r="A5025" t="str">
        <f>T("   848190")</f>
        <v xml:space="preserve">   848190</v>
      </c>
      <c r="B5025" t="str">
        <f>T("   Parties d'articles de robinetterie et organes simil. pour tuyauterie, etc., n.d.a.")</f>
        <v xml:space="preserve">   Parties d'articles de robinetterie et organes simil. pour tuyauterie, etc., n.d.a.</v>
      </c>
      <c r="C5025">
        <v>5022405</v>
      </c>
      <c r="D5025">
        <v>240</v>
      </c>
    </row>
    <row r="5026" spans="1:4" x14ac:dyDescent="0.25">
      <c r="A5026" t="str">
        <f>T("   848210")</f>
        <v xml:space="preserve">   848210</v>
      </c>
      <c r="B5026" t="str">
        <f>T("   Roulements à billes")</f>
        <v xml:space="preserve">   Roulements à billes</v>
      </c>
      <c r="C5026">
        <v>52774853</v>
      </c>
      <c r="D5026">
        <v>8995.6</v>
      </c>
    </row>
    <row r="5027" spans="1:4" x14ac:dyDescent="0.25">
      <c r="A5027" t="str">
        <f>T("   848220")</f>
        <v xml:space="preserve">   848220</v>
      </c>
      <c r="B5027" t="str">
        <f>T("   Roulements à rouleaux coniques, y.c. les assemblages de cônes et rouleaux coniques")</f>
        <v xml:space="preserve">   Roulements à rouleaux coniques, y.c. les assemblages de cônes et rouleaux coniques</v>
      </c>
      <c r="C5027">
        <v>5122640</v>
      </c>
      <c r="D5027">
        <v>258</v>
      </c>
    </row>
    <row r="5028" spans="1:4" x14ac:dyDescent="0.25">
      <c r="A5028" t="str">
        <f>T("   848230")</f>
        <v xml:space="preserve">   848230</v>
      </c>
      <c r="B5028" t="str">
        <f>T("   Roulements à rouleaux en forme de tonneau")</f>
        <v xml:space="preserve">   Roulements à rouleaux en forme de tonneau</v>
      </c>
      <c r="C5028">
        <v>2111279</v>
      </c>
      <c r="D5028">
        <v>155</v>
      </c>
    </row>
    <row r="5029" spans="1:4" x14ac:dyDescent="0.25">
      <c r="A5029" t="str">
        <f>T("   848240")</f>
        <v xml:space="preserve">   848240</v>
      </c>
      <c r="B5029" t="str">
        <f>T("   Roulements à aiguilles")</f>
        <v xml:space="preserve">   Roulements à aiguilles</v>
      </c>
      <c r="C5029">
        <v>11566542</v>
      </c>
      <c r="D5029">
        <v>1026</v>
      </c>
    </row>
    <row r="5030" spans="1:4" x14ac:dyDescent="0.25">
      <c r="A5030" t="str">
        <f>T("   848250")</f>
        <v xml:space="preserve">   848250</v>
      </c>
      <c r="B5030" t="str">
        <f>T("   Roulements à rouleaux cylindriques")</f>
        <v xml:space="preserve">   Roulements à rouleaux cylindriques</v>
      </c>
      <c r="C5030">
        <v>1931803</v>
      </c>
      <c r="D5030">
        <v>107</v>
      </c>
    </row>
    <row r="5031" spans="1:4" x14ac:dyDescent="0.25">
      <c r="A5031" t="str">
        <f>T("   848280")</f>
        <v xml:space="preserve">   848280</v>
      </c>
      <c r="B5031" t="s">
        <v>442</v>
      </c>
      <c r="C5031">
        <v>55216134</v>
      </c>
      <c r="D5031">
        <v>3770.5</v>
      </c>
    </row>
    <row r="5032" spans="1:4" x14ac:dyDescent="0.25">
      <c r="A5032" t="str">
        <f>T("   848291")</f>
        <v xml:space="preserve">   848291</v>
      </c>
      <c r="B5032" t="str">
        <f>T("   Billes, galets, rouleaux et aiguilles pour roulements (sauf billes en acier du n° 7326)")</f>
        <v xml:space="preserve">   Billes, galets, rouleaux et aiguilles pour roulements (sauf billes en acier du n° 7326)</v>
      </c>
      <c r="C5032">
        <v>3145985</v>
      </c>
      <c r="D5032">
        <v>331</v>
      </c>
    </row>
    <row r="5033" spans="1:4" x14ac:dyDescent="0.25">
      <c r="A5033" t="str">
        <f>T("   848299")</f>
        <v xml:space="preserve">   848299</v>
      </c>
      <c r="B5033" t="str">
        <f>T("   Parties de roulements à billes, à galets, à rouleaux ou à aiguilles (à l'excl. de leur organe de roulement), n.d.a.")</f>
        <v xml:space="preserve">   Parties de roulements à billes, à galets, à rouleaux ou à aiguilles (à l'excl. de leur organe de roulement), n.d.a.</v>
      </c>
      <c r="C5033">
        <v>2012933</v>
      </c>
      <c r="D5033">
        <v>443</v>
      </c>
    </row>
    <row r="5034" spans="1:4" x14ac:dyDescent="0.25">
      <c r="A5034" t="str">
        <f>T("   848310")</f>
        <v xml:space="preserve">   848310</v>
      </c>
      <c r="B5034" t="str">
        <f>T("   Arbres de transmission pour machines, y.c. -les arbres à cames et les vilebrequins- et manivelles")</f>
        <v xml:space="preserve">   Arbres de transmission pour machines, y.c. -les arbres à cames et les vilebrequins- et manivelles</v>
      </c>
      <c r="C5034">
        <v>21285011</v>
      </c>
      <c r="D5034">
        <v>832</v>
      </c>
    </row>
    <row r="5035" spans="1:4" x14ac:dyDescent="0.25">
      <c r="A5035" t="str">
        <f>T("   848320")</f>
        <v xml:space="preserve">   848320</v>
      </c>
      <c r="B5035" t="str">
        <f>T("   Paliers à roulements incorporés, pour machines")</f>
        <v xml:space="preserve">   Paliers à roulements incorporés, pour machines</v>
      </c>
      <c r="C5035">
        <v>3774008</v>
      </c>
      <c r="D5035">
        <v>219</v>
      </c>
    </row>
    <row r="5036" spans="1:4" x14ac:dyDescent="0.25">
      <c r="A5036" t="str">
        <f>T("   848330")</f>
        <v xml:space="preserve">   848330</v>
      </c>
      <c r="B5036" t="str">
        <f>T("   Paliers pour machines, sans roulements incorporés; coussinets et coquilles de coussinets pour machines")</f>
        <v xml:space="preserve">   Paliers pour machines, sans roulements incorporés; coussinets et coquilles de coussinets pour machines</v>
      </c>
      <c r="C5036">
        <v>45710386</v>
      </c>
      <c r="D5036">
        <v>3037.1</v>
      </c>
    </row>
    <row r="5037" spans="1:4" x14ac:dyDescent="0.25">
      <c r="A5037" t="str">
        <f>T("   848340")</f>
        <v xml:space="preserve">   848340</v>
      </c>
      <c r="B5037" t="s">
        <v>443</v>
      </c>
      <c r="C5037">
        <v>58294018</v>
      </c>
      <c r="D5037">
        <v>8537</v>
      </c>
    </row>
    <row r="5038" spans="1:4" x14ac:dyDescent="0.25">
      <c r="A5038" t="str">
        <f>T("   848350")</f>
        <v xml:space="preserve">   848350</v>
      </c>
      <c r="B5038" t="str">
        <f>T("   Volants et poulies, y.c. les poulies à moufles")</f>
        <v xml:space="preserve">   Volants et poulies, y.c. les poulies à moufles</v>
      </c>
      <c r="C5038">
        <v>12644703</v>
      </c>
      <c r="D5038">
        <v>840</v>
      </c>
    </row>
    <row r="5039" spans="1:4" x14ac:dyDescent="0.25">
      <c r="A5039" t="str">
        <f>T("   848360")</f>
        <v xml:space="preserve">   848360</v>
      </c>
      <c r="B5039" t="str">
        <f>T("   Embrayages et organes d'accouplement, y.c. les joints d'articulation, pour machines")</f>
        <v xml:space="preserve">   Embrayages et organes d'accouplement, y.c. les joints d'articulation, pour machines</v>
      </c>
      <c r="C5039">
        <v>16081650</v>
      </c>
      <c r="D5039">
        <v>1873</v>
      </c>
    </row>
    <row r="5040" spans="1:4" x14ac:dyDescent="0.25">
      <c r="A5040" t="str">
        <f>T("   848390")</f>
        <v xml:space="preserve">   848390</v>
      </c>
      <c r="B5040"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5040">
        <v>16964155</v>
      </c>
      <c r="D5040">
        <v>1551</v>
      </c>
    </row>
    <row r="5041" spans="1:4" x14ac:dyDescent="0.25">
      <c r="A5041" t="str">
        <f>T("   848410")</f>
        <v xml:space="preserve">   848410</v>
      </c>
      <c r="B5041" t="str">
        <f>T("   Joints métalloplastiques")</f>
        <v xml:space="preserve">   Joints métalloplastiques</v>
      </c>
      <c r="C5041">
        <v>5839356</v>
      </c>
      <c r="D5041">
        <v>337</v>
      </c>
    </row>
    <row r="5042" spans="1:4" x14ac:dyDescent="0.25">
      <c r="A5042" t="str">
        <f>T("   848420")</f>
        <v xml:space="preserve">   848420</v>
      </c>
      <c r="B5042" t="str">
        <f>T("   Joints d'étanchéité mécaniques")</f>
        <v xml:space="preserve">   Joints d'étanchéité mécaniques</v>
      </c>
      <c r="C5042">
        <v>4662203</v>
      </c>
      <c r="D5042">
        <v>353</v>
      </c>
    </row>
    <row r="5043" spans="1:4" x14ac:dyDescent="0.25">
      <c r="A5043" t="str">
        <f>T("   848490")</f>
        <v xml:space="preserve">   848490</v>
      </c>
      <c r="B5043" t="str">
        <f>T("   Jeux ou assortiments de joints de composition différente présentés en pochettes, enveloppes ou emballages analogues")</f>
        <v xml:space="preserve">   Jeux ou assortiments de joints de composition différente présentés en pochettes, enveloppes ou emballages analogues</v>
      </c>
      <c r="C5043">
        <v>130987126</v>
      </c>
      <c r="D5043">
        <v>7473.7</v>
      </c>
    </row>
    <row r="5044" spans="1:4" x14ac:dyDescent="0.25">
      <c r="A5044" t="str">
        <f>T("   848590")</f>
        <v xml:space="preserve">   848590</v>
      </c>
      <c r="B5044" t="str">
        <f>T("   Parties de machines et appareils du chapitre 84, sans caractéristiques spéciales d'utilisation, n.d.a.")</f>
        <v xml:space="preserve">   Parties de machines et appareils du chapitre 84, sans caractéristiques spéciales d'utilisation, n.d.a.</v>
      </c>
      <c r="C5044">
        <v>1131637</v>
      </c>
      <c r="D5044">
        <v>15</v>
      </c>
    </row>
    <row r="5045" spans="1:4" x14ac:dyDescent="0.25">
      <c r="A5045" t="str">
        <f>T("   850110")</f>
        <v xml:space="preserve">   850110</v>
      </c>
      <c r="B5045" t="str">
        <f>T("   Moteurs d'une puissance &lt;= 37,5 W")</f>
        <v xml:space="preserve">   Moteurs d'une puissance &lt;= 37,5 W</v>
      </c>
      <c r="C5045">
        <v>6303833</v>
      </c>
      <c r="D5045">
        <v>1193</v>
      </c>
    </row>
    <row r="5046" spans="1:4" x14ac:dyDescent="0.25">
      <c r="A5046" t="str">
        <f>T("   850120")</f>
        <v xml:space="preserve">   850120</v>
      </c>
      <c r="B5046" t="str">
        <f>T("   Moteurs universels, puissance &gt; 37,5 W")</f>
        <v xml:space="preserve">   Moteurs universels, puissance &gt; 37,5 W</v>
      </c>
      <c r="C5046">
        <v>8132592</v>
      </c>
      <c r="D5046">
        <v>970</v>
      </c>
    </row>
    <row r="5047" spans="1:4" x14ac:dyDescent="0.25">
      <c r="A5047" t="str">
        <f>T("   850131")</f>
        <v xml:space="preserve">   850131</v>
      </c>
      <c r="B5047" t="str">
        <f>T("   Moteurs à courant continu, puissance &lt;= 750 W mais &gt; 37,5 W et génératrices à courant continu, puissance &lt;= 750 W")</f>
        <v xml:space="preserve">   Moteurs à courant continu, puissance &lt;= 750 W mais &gt; 37,5 W et génératrices à courant continu, puissance &lt;= 750 W</v>
      </c>
      <c r="C5047">
        <v>10532168</v>
      </c>
      <c r="D5047">
        <v>1075</v>
      </c>
    </row>
    <row r="5048" spans="1:4" x14ac:dyDescent="0.25">
      <c r="A5048" t="str">
        <f>T("   850132")</f>
        <v xml:space="preserve">   850132</v>
      </c>
      <c r="B5048" t="str">
        <f>T("   Moteurs et génératrices à courant continu, puissance &gt; 750 W mais &lt;= 75 kW")</f>
        <v xml:space="preserve">   Moteurs et génératrices à courant continu, puissance &gt; 750 W mais &lt;= 75 kW</v>
      </c>
      <c r="C5048">
        <v>2702056</v>
      </c>
      <c r="D5048">
        <v>1804</v>
      </c>
    </row>
    <row r="5049" spans="1:4" x14ac:dyDescent="0.25">
      <c r="A5049" t="str">
        <f>T("   850133")</f>
        <v xml:space="preserve">   850133</v>
      </c>
      <c r="B5049" t="str">
        <f>T("   Moteurs et génératrices à courant continu, puissance &gt; 75 kW mais &lt;= 375 kW")</f>
        <v xml:space="preserve">   Moteurs et génératrices à courant continu, puissance &gt; 75 kW mais &lt;= 375 kW</v>
      </c>
      <c r="C5049">
        <v>1191880</v>
      </c>
      <c r="D5049">
        <v>88</v>
      </c>
    </row>
    <row r="5050" spans="1:4" x14ac:dyDescent="0.25">
      <c r="A5050" t="str">
        <f>T("   850140")</f>
        <v xml:space="preserve">   850140</v>
      </c>
      <c r="B5050" t="str">
        <f>T("   Moteurs à courant alternatif, monophasés")</f>
        <v xml:space="preserve">   Moteurs à courant alternatif, monophasés</v>
      </c>
      <c r="C5050">
        <v>8303812</v>
      </c>
      <c r="D5050">
        <v>7645</v>
      </c>
    </row>
    <row r="5051" spans="1:4" x14ac:dyDescent="0.25">
      <c r="A5051" t="str">
        <f>T("   850151")</f>
        <v xml:space="preserve">   850151</v>
      </c>
      <c r="B5051" t="str">
        <f>T("   Moteurs à courant alternatif, polyphasés, puissance &gt; 37,5 W mais &lt;= 750 W")</f>
        <v xml:space="preserve">   Moteurs à courant alternatif, polyphasés, puissance &gt; 37,5 W mais &lt;= 750 W</v>
      </c>
      <c r="C5051">
        <v>10077513</v>
      </c>
      <c r="D5051">
        <v>494</v>
      </c>
    </row>
    <row r="5052" spans="1:4" x14ac:dyDescent="0.25">
      <c r="A5052" t="str">
        <f>T("   850152")</f>
        <v xml:space="preserve">   850152</v>
      </c>
      <c r="B5052" t="str">
        <f>T("   Moteurs à courant alternatif, polyphasés, puissance &gt; 750 W mais &lt;= 75 kW")</f>
        <v xml:space="preserve">   Moteurs à courant alternatif, polyphasés, puissance &gt; 750 W mais &lt;= 75 kW</v>
      </c>
      <c r="C5052">
        <v>22799110</v>
      </c>
      <c r="D5052">
        <v>3184</v>
      </c>
    </row>
    <row r="5053" spans="1:4" x14ac:dyDescent="0.25">
      <c r="A5053" t="str">
        <f>T("   850153")</f>
        <v xml:space="preserve">   850153</v>
      </c>
      <c r="B5053" t="str">
        <f>T("   Moteurs à courant alternatif, polyphasés, puissance &gt; 75 kW")</f>
        <v xml:space="preserve">   Moteurs à courant alternatif, polyphasés, puissance &gt; 75 kW</v>
      </c>
      <c r="C5053">
        <v>58067547</v>
      </c>
      <c r="D5053">
        <v>3801</v>
      </c>
    </row>
    <row r="5054" spans="1:4" x14ac:dyDescent="0.25">
      <c r="A5054" t="str">
        <f>T("   850161")</f>
        <v xml:space="preserve">   850161</v>
      </c>
      <c r="B5054" t="str">
        <f>T("   Alternateurs, puissance &lt;= 75 kVA")</f>
        <v xml:space="preserve">   Alternateurs, puissance &lt;= 75 kVA</v>
      </c>
      <c r="C5054">
        <v>5405718</v>
      </c>
      <c r="D5054">
        <v>990</v>
      </c>
    </row>
    <row r="5055" spans="1:4" x14ac:dyDescent="0.25">
      <c r="A5055" t="str">
        <f>T("   850163")</f>
        <v xml:space="preserve">   850163</v>
      </c>
      <c r="B5055" t="str">
        <f>T("   Alternateurs, puissance &gt; 375 kVA mais &lt;= 750 kVA")</f>
        <v xml:space="preserve">   Alternateurs, puissance &gt; 375 kVA mais &lt;= 750 kVA</v>
      </c>
      <c r="C5055">
        <v>9808491</v>
      </c>
      <c r="D5055">
        <v>1463</v>
      </c>
    </row>
    <row r="5056" spans="1:4" x14ac:dyDescent="0.25">
      <c r="A5056" t="str">
        <f>T("   850164")</f>
        <v xml:space="preserve">   850164</v>
      </c>
      <c r="B5056" t="str">
        <f>T("   Alternateurs, puissance &gt; 750 kVA")</f>
        <v xml:space="preserve">   Alternateurs, puissance &gt; 750 kVA</v>
      </c>
      <c r="C5056">
        <v>1801266</v>
      </c>
      <c r="D5056">
        <v>37</v>
      </c>
    </row>
    <row r="5057" spans="1:4" x14ac:dyDescent="0.25">
      <c r="A5057" t="str">
        <f>T("   850211")</f>
        <v xml:space="preserve">   850211</v>
      </c>
      <c r="B5057" t="s">
        <v>444</v>
      </c>
      <c r="C5057">
        <v>694693858</v>
      </c>
      <c r="D5057">
        <v>202465.2</v>
      </c>
    </row>
    <row r="5058" spans="1:4" x14ac:dyDescent="0.25">
      <c r="A5058" t="str">
        <f>T("   850212")</f>
        <v xml:space="preserve">   850212</v>
      </c>
      <c r="B5058"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5058">
        <v>424466955</v>
      </c>
      <c r="D5058">
        <v>85160</v>
      </c>
    </row>
    <row r="5059" spans="1:4" x14ac:dyDescent="0.25">
      <c r="A5059" t="str">
        <f>T("   850213")</f>
        <v xml:space="preserve">   850213</v>
      </c>
      <c r="B5059" t="s">
        <v>445</v>
      </c>
      <c r="C5059">
        <v>219400910</v>
      </c>
      <c r="D5059">
        <v>33388</v>
      </c>
    </row>
    <row r="5060" spans="1:4" x14ac:dyDescent="0.25">
      <c r="A5060" t="str">
        <f>T("   850220")</f>
        <v xml:space="preserve">   850220</v>
      </c>
      <c r="B5060" t="s">
        <v>446</v>
      </c>
      <c r="C5060">
        <v>348848238</v>
      </c>
      <c r="D5060">
        <v>32552</v>
      </c>
    </row>
    <row r="5061" spans="1:4" x14ac:dyDescent="0.25">
      <c r="A5061" t="str">
        <f>T("   850239")</f>
        <v xml:space="preserve">   850239</v>
      </c>
      <c r="B5061" t="str">
        <f>T("   Groupes électrogènes (autres qu'à énergie éolienne et à moteurs à piston)")</f>
        <v xml:space="preserve">   Groupes électrogènes (autres qu'à énergie éolienne et à moteurs à piston)</v>
      </c>
      <c r="C5061">
        <v>25161404</v>
      </c>
      <c r="D5061">
        <v>11025</v>
      </c>
    </row>
    <row r="5062" spans="1:4" x14ac:dyDescent="0.25">
      <c r="A5062" t="str">
        <f>T("   850300")</f>
        <v xml:space="preserve">   850300</v>
      </c>
      <c r="B5062"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5062">
        <v>87671518</v>
      </c>
      <c r="D5062">
        <v>2342</v>
      </c>
    </row>
    <row r="5063" spans="1:4" x14ac:dyDescent="0.25">
      <c r="A5063" t="str">
        <f>T("   850410")</f>
        <v xml:space="preserve">   850410</v>
      </c>
      <c r="B5063" t="str">
        <f>T("   Ballasts pour lampes ou tubes à décharge")</f>
        <v xml:space="preserve">   Ballasts pour lampes ou tubes à décharge</v>
      </c>
      <c r="C5063">
        <v>1674167</v>
      </c>
      <c r="D5063">
        <v>5</v>
      </c>
    </row>
    <row r="5064" spans="1:4" x14ac:dyDescent="0.25">
      <c r="A5064" t="str">
        <f>T("   850421")</f>
        <v xml:space="preserve">   850421</v>
      </c>
      <c r="B5064" t="str">
        <f>T("   Transformateurs à diélectrique liquide, puissance &lt;= 650 kVA")</f>
        <v xml:space="preserve">   Transformateurs à diélectrique liquide, puissance &lt;= 650 kVA</v>
      </c>
      <c r="C5064">
        <v>182341189</v>
      </c>
      <c r="D5064">
        <v>132288</v>
      </c>
    </row>
    <row r="5065" spans="1:4" x14ac:dyDescent="0.25">
      <c r="A5065" t="str">
        <f>T("   850422")</f>
        <v xml:space="preserve">   850422</v>
      </c>
      <c r="B5065" t="str">
        <f>T("   Transformateurs à diélectrique liquide, puissance &gt; 650 kVA mais &lt;= 10.000 kVA")</f>
        <v xml:space="preserve">   Transformateurs à diélectrique liquide, puissance &gt; 650 kVA mais &lt;= 10.000 kVA</v>
      </c>
      <c r="C5065">
        <v>21632904</v>
      </c>
      <c r="D5065">
        <v>9236</v>
      </c>
    </row>
    <row r="5066" spans="1:4" x14ac:dyDescent="0.25">
      <c r="A5066" t="str">
        <f>T("   850423")</f>
        <v xml:space="preserve">   850423</v>
      </c>
      <c r="B5066" t="str">
        <f>T("   Transformateurs à diélectrique liquide, puissance &gt; 10.000 kVA")</f>
        <v xml:space="preserve">   Transformateurs à diélectrique liquide, puissance &gt; 10.000 kVA</v>
      </c>
      <c r="C5066">
        <v>2162936</v>
      </c>
      <c r="D5066">
        <v>345</v>
      </c>
    </row>
    <row r="5067" spans="1:4" x14ac:dyDescent="0.25">
      <c r="A5067" t="str">
        <f>T("   850431")</f>
        <v xml:space="preserve">   850431</v>
      </c>
      <c r="B5067" t="str">
        <f>T("   Transformateurs à sec, puissance &lt;= 1 kVA")</f>
        <v xml:space="preserve">   Transformateurs à sec, puissance &lt;= 1 kVA</v>
      </c>
      <c r="C5067">
        <v>43740547</v>
      </c>
      <c r="D5067">
        <v>2138</v>
      </c>
    </row>
    <row r="5068" spans="1:4" x14ac:dyDescent="0.25">
      <c r="A5068" t="str">
        <f>T("   850432")</f>
        <v xml:space="preserve">   850432</v>
      </c>
      <c r="B5068" t="str">
        <f>T("   Transformateurs à sec, puissance &gt; 1 kVA mais &lt;= 16 kVA")</f>
        <v xml:space="preserve">   Transformateurs à sec, puissance &gt; 1 kVA mais &lt;= 16 kVA</v>
      </c>
      <c r="C5068">
        <v>19594181</v>
      </c>
      <c r="D5068">
        <v>4800</v>
      </c>
    </row>
    <row r="5069" spans="1:4" x14ac:dyDescent="0.25">
      <c r="A5069" t="str">
        <f>T("   850433")</f>
        <v xml:space="preserve">   850433</v>
      </c>
      <c r="B5069" t="str">
        <f>T("   Transformateurs à sec, puissance &gt; 16 kVA mais &lt;= 500 kVA")</f>
        <v xml:space="preserve">   Transformateurs à sec, puissance &gt; 16 kVA mais &lt;= 500 kVA</v>
      </c>
      <c r="C5069">
        <v>46313315</v>
      </c>
      <c r="D5069">
        <v>3403</v>
      </c>
    </row>
    <row r="5070" spans="1:4" x14ac:dyDescent="0.25">
      <c r="A5070" t="str">
        <f>T("   850440")</f>
        <v xml:space="preserve">   850440</v>
      </c>
      <c r="B5070" t="str">
        <f>T("   CONVERTISSEURS STATIQUES")</f>
        <v xml:space="preserve">   CONVERTISSEURS STATIQUES</v>
      </c>
      <c r="C5070">
        <v>453373945</v>
      </c>
      <c r="D5070">
        <v>45593.75</v>
      </c>
    </row>
    <row r="5071" spans="1:4" x14ac:dyDescent="0.25">
      <c r="A5071" t="str">
        <f>T("   850450")</f>
        <v xml:space="preserve">   850450</v>
      </c>
      <c r="B5071" t="str">
        <f>T("   Bobines de réactance et autres selfs (autres que pour lampes ou tubes à décharge)")</f>
        <v xml:space="preserve">   Bobines de réactance et autres selfs (autres que pour lampes ou tubes à décharge)</v>
      </c>
      <c r="C5071">
        <v>494594</v>
      </c>
      <c r="D5071">
        <v>209</v>
      </c>
    </row>
    <row r="5072" spans="1:4" x14ac:dyDescent="0.25">
      <c r="A5072" t="str">
        <f>T("   850490")</f>
        <v xml:space="preserve">   850490</v>
      </c>
      <c r="B5072" t="str">
        <f>T("   Parties de transformateurs, de bobines de réactance et selfs n.d.a.")</f>
        <v xml:space="preserve">   Parties de transformateurs, de bobines de réactance et selfs n.d.a.</v>
      </c>
      <c r="C5072">
        <v>8405784</v>
      </c>
      <c r="D5072">
        <v>1476</v>
      </c>
    </row>
    <row r="5073" spans="1:4" x14ac:dyDescent="0.25">
      <c r="A5073" t="str">
        <f>T("   850520")</f>
        <v xml:space="preserve">   850520</v>
      </c>
      <c r="B5073" t="str">
        <f>T("   Accouplements, embrayages, variateurs de vitesse et freins électromagnétiques")</f>
        <v xml:space="preserve">   Accouplements, embrayages, variateurs de vitesse et freins électromagnétiques</v>
      </c>
      <c r="C5073">
        <v>2546436</v>
      </c>
      <c r="D5073">
        <v>263</v>
      </c>
    </row>
    <row r="5074" spans="1:4" x14ac:dyDescent="0.25">
      <c r="A5074" t="str">
        <f>T("   850590")</f>
        <v xml:space="preserve">   850590</v>
      </c>
      <c r="B5074" t="str">
        <f>T("   ÉLECTRO-AIMANTS (AUTRES QU'À USAGES MÉDICAUX), TÊTES DE LEVAGE ÉLECTROMAGNÉTIQUES AINSI QUE PLATEAUX, MANDRINS ET DISPOSITIFS MAGNÉTIQUES OU ÉLECTROMAGNÉTIQUES SIMIL. DE FIXATION ET LEURS PARTIES N.D.A.")</f>
        <v xml:space="preserve">   ÉLECTRO-AIMANTS (AUTRES QU'À USAGES MÉDICAUX), TÊTES DE LEVAGE ÉLECTROMAGNÉTIQUES AINSI QUE PLATEAUX, MANDRINS ET DISPOSITIFS MAGNÉTIQUES OU ÉLECTROMAGNÉTIQUES SIMIL. DE FIXATION ET LEURS PARTIES N.D.A.</v>
      </c>
      <c r="C5074">
        <v>7938428</v>
      </c>
      <c r="D5074">
        <v>604</v>
      </c>
    </row>
    <row r="5075" spans="1:4" x14ac:dyDescent="0.25">
      <c r="A5075" t="str">
        <f>T("   850610")</f>
        <v xml:space="preserve">   850610</v>
      </c>
      <c r="B5075" t="str">
        <f>T("   Piles et batteries de piles électriques, au bioxyde de manganèse (sauf hors d'usage)")</f>
        <v xml:space="preserve">   Piles et batteries de piles électriques, au bioxyde de manganèse (sauf hors d'usage)</v>
      </c>
      <c r="C5075">
        <v>17794939</v>
      </c>
      <c r="D5075">
        <v>2391</v>
      </c>
    </row>
    <row r="5076" spans="1:4" x14ac:dyDescent="0.25">
      <c r="A5076" t="str">
        <f>T("   850630")</f>
        <v xml:space="preserve">   850630</v>
      </c>
      <c r="B5076" t="str">
        <f>T("   Piles et batteries de piles électriques, à l'oxyde de mercure (sauf hors d'usage)")</f>
        <v xml:space="preserve">   Piles et batteries de piles électriques, à l'oxyde de mercure (sauf hors d'usage)</v>
      </c>
      <c r="C5076">
        <v>22958</v>
      </c>
      <c r="D5076">
        <v>1</v>
      </c>
    </row>
    <row r="5077" spans="1:4" x14ac:dyDescent="0.25">
      <c r="A5077" t="str">
        <f>T("   850680")</f>
        <v xml:space="preserve">   850680</v>
      </c>
      <c r="B5077"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5077">
        <v>964347</v>
      </c>
      <c r="D5077">
        <v>79</v>
      </c>
    </row>
    <row r="5078" spans="1:4" x14ac:dyDescent="0.25">
      <c r="A5078" t="str">
        <f>T("   850710")</f>
        <v xml:space="preserve">   850710</v>
      </c>
      <c r="B5078" t="str">
        <f>T("   Accumulateurs au plomb, pour le démarrage des moteurs à piston (sauf hors d'usage)")</f>
        <v xml:space="preserve">   Accumulateurs au plomb, pour le démarrage des moteurs à piston (sauf hors d'usage)</v>
      </c>
      <c r="C5078">
        <v>72095692</v>
      </c>
      <c r="D5078">
        <v>25924</v>
      </c>
    </row>
    <row r="5079" spans="1:4" x14ac:dyDescent="0.25">
      <c r="A5079" t="str">
        <f>T("   850720")</f>
        <v xml:space="preserve">   850720</v>
      </c>
      <c r="B5079" t="str">
        <f>T("   Accumulateurs au plomb (sauf hors d'usage et autres que pour le démarrage des moteurs à piston)")</f>
        <v xml:space="preserve">   Accumulateurs au plomb (sauf hors d'usage et autres que pour le démarrage des moteurs à piston)</v>
      </c>
      <c r="C5079">
        <v>539414</v>
      </c>
      <c r="D5079">
        <v>521</v>
      </c>
    </row>
    <row r="5080" spans="1:4" x14ac:dyDescent="0.25">
      <c r="A5080" t="str">
        <f>T("   850730")</f>
        <v xml:space="preserve">   850730</v>
      </c>
      <c r="B5080" t="str">
        <f>T("   Accumulateurs au nickel-cadmium (sauf hors d'usage)")</f>
        <v xml:space="preserve">   Accumulateurs au nickel-cadmium (sauf hors d'usage)</v>
      </c>
      <c r="C5080">
        <v>40727355</v>
      </c>
      <c r="D5080">
        <v>4900</v>
      </c>
    </row>
    <row r="5081" spans="1:4" x14ac:dyDescent="0.25">
      <c r="A5081" t="str">
        <f>T("   850780")</f>
        <v xml:space="preserve">   850780</v>
      </c>
      <c r="B5081" t="str">
        <f>T("   Accumulateurs électriques (sauf hors d'usage et autres qu'au plomb, au nickel-cadmium ou au nickel-fer)")</f>
        <v xml:space="preserve">   Accumulateurs électriques (sauf hors d'usage et autres qu'au plomb, au nickel-cadmium ou au nickel-fer)</v>
      </c>
      <c r="C5081">
        <v>83582563</v>
      </c>
      <c r="D5081">
        <v>33072</v>
      </c>
    </row>
    <row r="5082" spans="1:4" x14ac:dyDescent="0.25">
      <c r="A5082" t="str">
        <f>T("   850910")</f>
        <v xml:space="preserve">   850910</v>
      </c>
      <c r="B5082"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5082">
        <v>2668446</v>
      </c>
      <c r="D5082">
        <v>478</v>
      </c>
    </row>
    <row r="5083" spans="1:4" x14ac:dyDescent="0.25">
      <c r="A5083" t="str">
        <f>T("   850940")</f>
        <v xml:space="preserve">   850940</v>
      </c>
      <c r="B5083"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5083">
        <v>42939892</v>
      </c>
      <c r="D5083">
        <v>7642</v>
      </c>
    </row>
    <row r="5084" spans="1:4" x14ac:dyDescent="0.25">
      <c r="A5084" t="str">
        <f>T("   850980")</f>
        <v xml:space="preserve">   850980</v>
      </c>
      <c r="B5084" t="s">
        <v>447</v>
      </c>
      <c r="C5084">
        <v>1714024</v>
      </c>
      <c r="D5084">
        <v>4206</v>
      </c>
    </row>
    <row r="5085" spans="1:4" x14ac:dyDescent="0.25">
      <c r="A5085" t="str">
        <f>T("   850990")</f>
        <v xml:space="preserve">   850990</v>
      </c>
      <c r="B5085" t="str">
        <f>T("   Parties d'appareils électromécaniques à moteur électrique incorporé, à usage domestique, n.d.a.")</f>
        <v xml:space="preserve">   Parties d'appareils électromécaniques à moteur électrique incorporé, à usage domestique, n.d.a.</v>
      </c>
      <c r="C5085">
        <v>578557</v>
      </c>
      <c r="D5085">
        <v>20</v>
      </c>
    </row>
    <row r="5086" spans="1:4" x14ac:dyDescent="0.25">
      <c r="A5086" t="str">
        <f>T("   851020")</f>
        <v xml:space="preserve">   851020</v>
      </c>
      <c r="B5086" t="str">
        <f>T("   Tondeuses à moteur électrique incorporé")</f>
        <v xml:space="preserve">   Tondeuses à moteur électrique incorporé</v>
      </c>
      <c r="C5086">
        <v>23593569</v>
      </c>
      <c r="D5086">
        <v>3647</v>
      </c>
    </row>
    <row r="5087" spans="1:4" x14ac:dyDescent="0.25">
      <c r="A5087" t="str">
        <f>T("   851110")</f>
        <v xml:space="preserve">   851110</v>
      </c>
      <c r="B5087" t="str">
        <f>T("   Bougies d'allumage pour moteurs à allumage par étincelles ou par compression")</f>
        <v xml:space="preserve">   Bougies d'allumage pour moteurs à allumage par étincelles ou par compression</v>
      </c>
      <c r="C5087">
        <v>2777361</v>
      </c>
      <c r="D5087">
        <v>260</v>
      </c>
    </row>
    <row r="5088" spans="1:4" x14ac:dyDescent="0.25">
      <c r="A5088" t="str">
        <f>T("   851130")</f>
        <v xml:space="preserve">   851130</v>
      </c>
      <c r="B5088" t="str">
        <f>T("   Distributeurs et bobines d'allumage, pour moteurs à allumage par étincelles ou par compression")</f>
        <v xml:space="preserve">   Distributeurs et bobines d'allumage, pour moteurs à allumage par étincelles ou par compression</v>
      </c>
      <c r="C5088">
        <v>8103330</v>
      </c>
      <c r="D5088">
        <v>96</v>
      </c>
    </row>
    <row r="5089" spans="1:4" x14ac:dyDescent="0.25">
      <c r="A5089" t="str">
        <f>T("   851140")</f>
        <v xml:space="preserve">   851140</v>
      </c>
      <c r="B5089" t="str">
        <f>T("   Démarreurs, même fonctionnant comme génératrices, pour moteurs à allumage par étincelles ou par compression")</f>
        <v xml:space="preserve">   Démarreurs, même fonctionnant comme génératrices, pour moteurs à allumage par étincelles ou par compression</v>
      </c>
      <c r="C5089">
        <v>11338979</v>
      </c>
      <c r="D5089">
        <v>560</v>
      </c>
    </row>
    <row r="5090" spans="1:4" x14ac:dyDescent="0.25">
      <c r="A5090" t="str">
        <f>T("   851150")</f>
        <v xml:space="preserve">   851150</v>
      </c>
      <c r="B5090"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5090">
        <v>6809732</v>
      </c>
      <c r="D5090">
        <v>203.5</v>
      </c>
    </row>
    <row r="5091" spans="1:4" x14ac:dyDescent="0.25">
      <c r="A5091" t="str">
        <f>T("   851180")</f>
        <v xml:space="preserve">   851180</v>
      </c>
      <c r="B5091" t="s">
        <v>448</v>
      </c>
      <c r="C5091">
        <v>9785394</v>
      </c>
      <c r="D5091">
        <v>377</v>
      </c>
    </row>
    <row r="5092" spans="1:4" x14ac:dyDescent="0.25">
      <c r="A5092" t="str">
        <f>T("   851190")</f>
        <v xml:space="preserve">   851190</v>
      </c>
      <c r="B5092" t="str">
        <f>T("   Parties des appareils et dispositifs électriques d'allumage et de démarrage, génératrices etc. du n° 8511, n.d.a.")</f>
        <v xml:space="preserve">   Parties des appareils et dispositifs électriques d'allumage et de démarrage, génératrices etc. du n° 8511, n.d.a.</v>
      </c>
      <c r="C5092">
        <v>93146</v>
      </c>
      <c r="D5092">
        <v>3</v>
      </c>
    </row>
    <row r="5093" spans="1:4" x14ac:dyDescent="0.25">
      <c r="A5093" t="str">
        <f>T("   851220")</f>
        <v xml:space="preserve">   851220</v>
      </c>
      <c r="B5093" t="str">
        <f>T("   Appareils électriques d'éclairage ou de signalisation visuelle, pour automobiles (à l'excl. des lampes du n° 8539)")</f>
        <v xml:space="preserve">   Appareils électriques d'éclairage ou de signalisation visuelle, pour automobiles (à l'excl. des lampes du n° 8539)</v>
      </c>
      <c r="C5093">
        <v>61036846</v>
      </c>
      <c r="D5093">
        <v>14277</v>
      </c>
    </row>
    <row r="5094" spans="1:4" x14ac:dyDescent="0.25">
      <c r="A5094" t="str">
        <f>T("   851230")</f>
        <v xml:space="preserve">   851230</v>
      </c>
      <c r="B5094" t="str">
        <f>T("   APPAREILS ÉLECTRIQUES DE SIGNALISATION ACOUSTIQUE, POUR CYCLES OU POUR AUTOMOBILES")</f>
        <v xml:space="preserve">   APPAREILS ÉLECTRIQUES DE SIGNALISATION ACOUSTIQUE, POUR CYCLES OU POUR AUTOMOBILES</v>
      </c>
      <c r="C5094">
        <v>1378172</v>
      </c>
      <c r="D5094">
        <v>54</v>
      </c>
    </row>
    <row r="5095" spans="1:4" x14ac:dyDescent="0.25">
      <c r="A5095" t="str">
        <f>T("   851240")</f>
        <v xml:space="preserve">   851240</v>
      </c>
      <c r="B5095" t="str">
        <f>T("   Essuie-glaces, dégivreurs et dispositifs antibuée électriques, des types utilisés pour automobiles")</f>
        <v xml:space="preserve">   Essuie-glaces, dégivreurs et dispositifs antibuée électriques, des types utilisés pour automobiles</v>
      </c>
      <c r="C5095">
        <v>331261</v>
      </c>
      <c r="D5095">
        <v>23</v>
      </c>
    </row>
    <row r="5096" spans="1:4" x14ac:dyDescent="0.25">
      <c r="A5096" t="str">
        <f>T("   851290")</f>
        <v xml:space="preserve">   851290</v>
      </c>
      <c r="B5096" t="str">
        <f>T("   PARTIES DES APPAREILS ÉLECTRIQUES D'ÉCLAIRAGE, DE SIGNALISATION, ESSUIE-GLACES, DÉGIVREURS ET DISPOSITIFS ANTIBUÉE, DES TYPES UTILISÉS POUR CYCLES ET POUR AUTOMOBILES, N.D.A.")</f>
        <v xml:space="preserve">   PARTIES DES APPAREILS ÉLECTRIQUES D'ÉCLAIRAGE, DE SIGNALISATION, ESSUIE-GLACES, DÉGIVREURS ET DISPOSITIFS ANTIBUÉE, DES TYPES UTILISÉS POUR CYCLES ET POUR AUTOMOBILES, N.D.A.</v>
      </c>
      <c r="C5096">
        <v>2110657</v>
      </c>
      <c r="D5096">
        <v>641.1</v>
      </c>
    </row>
    <row r="5097" spans="1:4" x14ac:dyDescent="0.25">
      <c r="A5097" t="str">
        <f>T("   851310")</f>
        <v xml:space="preserve">   851310</v>
      </c>
      <c r="B5097" t="str">
        <f>T("   Lampes électriques portatives, destinées à fonctionner au moyen de leur propre source d'énergie")</f>
        <v xml:space="preserve">   Lampes électriques portatives, destinées à fonctionner au moyen de leur propre source d'énergie</v>
      </c>
      <c r="C5097">
        <v>15555838</v>
      </c>
      <c r="D5097">
        <v>2716</v>
      </c>
    </row>
    <row r="5098" spans="1:4" x14ac:dyDescent="0.25">
      <c r="A5098" t="str">
        <f>T("   851430")</f>
        <v xml:space="preserve">   851430</v>
      </c>
      <c r="B5098"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5098">
        <v>11214703</v>
      </c>
      <c r="D5098">
        <v>382</v>
      </c>
    </row>
    <row r="5099" spans="1:4" x14ac:dyDescent="0.25">
      <c r="A5099" t="str">
        <f>T("   851490")</f>
        <v xml:space="preserve">   851490</v>
      </c>
      <c r="B5099" t="s">
        <v>449</v>
      </c>
      <c r="C5099">
        <v>1846528</v>
      </c>
      <c r="D5099">
        <v>12</v>
      </c>
    </row>
    <row r="5100" spans="1:4" x14ac:dyDescent="0.25">
      <c r="A5100" t="str">
        <f>T("   851519")</f>
        <v xml:space="preserve">   851519</v>
      </c>
      <c r="B5100" t="str">
        <f>T("   Machines et appareils électriques pour le brasage fort ou tendre (sauf fers et pistolets à braser)")</f>
        <v xml:space="preserve">   Machines et appareils électriques pour le brasage fort ou tendre (sauf fers et pistolets à braser)</v>
      </c>
      <c r="C5100">
        <v>6455551</v>
      </c>
      <c r="D5100">
        <v>224</v>
      </c>
    </row>
    <row r="5101" spans="1:4" x14ac:dyDescent="0.25">
      <c r="A5101" t="str">
        <f>T("   851529")</f>
        <v xml:space="preserve">   851529</v>
      </c>
      <c r="B5101" t="str">
        <f>T("   MACHINES ET APPAREILS POUR LE SOUDAGE DES MÉTAUX PAR RÉSISTANCE, NON-AUTOMATIQUES")</f>
        <v xml:space="preserve">   MACHINES ET APPAREILS POUR LE SOUDAGE DES MÉTAUX PAR RÉSISTANCE, NON-AUTOMATIQUES</v>
      </c>
      <c r="C5101">
        <v>17006419</v>
      </c>
      <c r="D5101">
        <v>3225</v>
      </c>
    </row>
    <row r="5102" spans="1:4" x14ac:dyDescent="0.25">
      <c r="A5102" t="str">
        <f>T("   851539")</f>
        <v xml:space="preserve">   851539</v>
      </c>
      <c r="B5102" t="str">
        <f>T("   MACHINES ET APPAREILS POUR LE SOUDAGE DES MÉTAUX À L'ARC OU AU JET DE PLASMA, NON-AUTOMATIQUES")</f>
        <v xml:space="preserve">   MACHINES ET APPAREILS POUR LE SOUDAGE DES MÉTAUX À L'ARC OU AU JET DE PLASMA, NON-AUTOMATIQUES</v>
      </c>
      <c r="C5102">
        <v>10827028</v>
      </c>
      <c r="D5102">
        <v>1803</v>
      </c>
    </row>
    <row r="5103" spans="1:4" x14ac:dyDescent="0.25">
      <c r="A5103" t="str">
        <f>T("   851580")</f>
        <v xml:space="preserve">   851580</v>
      </c>
      <c r="B5103" t="s">
        <v>450</v>
      </c>
      <c r="C5103">
        <v>3732805</v>
      </c>
      <c r="D5103">
        <v>1967</v>
      </c>
    </row>
    <row r="5104" spans="1:4" x14ac:dyDescent="0.25">
      <c r="A5104" t="str">
        <f>T("   851590")</f>
        <v xml:space="preserve">   851590</v>
      </c>
      <c r="B5104" t="str">
        <f>T("   Parties de machines et appareils électriques pour le brasage, le soudage ou la projection à chaud de métaux, de carbures métalliques frittés ou de cermets, n.d.a.")</f>
        <v xml:space="preserve">   Parties de machines et appareils électriques pour le brasage, le soudage ou la projection à chaud de métaux, de carbures métalliques frittés ou de cermets, n.d.a.</v>
      </c>
      <c r="C5104">
        <v>7636333</v>
      </c>
      <c r="D5104">
        <v>1028</v>
      </c>
    </row>
    <row r="5105" spans="1:4" x14ac:dyDescent="0.25">
      <c r="A5105" t="str">
        <f>T("   851610")</f>
        <v xml:space="preserve">   851610</v>
      </c>
      <c r="B5105" t="str">
        <f>T("   Chauffe-eau et thermoplongeurs électriques")</f>
        <v xml:space="preserve">   Chauffe-eau et thermoplongeurs électriques</v>
      </c>
      <c r="C5105">
        <v>30204906</v>
      </c>
      <c r="D5105">
        <v>12859</v>
      </c>
    </row>
    <row r="5106" spans="1:4" x14ac:dyDescent="0.25">
      <c r="A5106" t="str">
        <f>T("   851629")</f>
        <v xml:space="preserve">   851629</v>
      </c>
      <c r="B5106" t="str">
        <f>T("   Appareils électriques pour le chauffage des locaux, du sol ou pour usages simil. (sauf radiateurs à accumulation)")</f>
        <v xml:space="preserve">   Appareils électriques pour le chauffage des locaux, du sol ou pour usages simil. (sauf radiateurs à accumulation)</v>
      </c>
      <c r="C5106">
        <v>250000</v>
      </c>
      <c r="D5106">
        <v>1200</v>
      </c>
    </row>
    <row r="5107" spans="1:4" x14ac:dyDescent="0.25">
      <c r="A5107" t="str">
        <f>T("   851631")</f>
        <v xml:space="preserve">   851631</v>
      </c>
      <c r="B5107" t="str">
        <f>T("   Sèche-cheveux électriques")</f>
        <v xml:space="preserve">   Sèche-cheveux électriques</v>
      </c>
      <c r="C5107">
        <v>4915109</v>
      </c>
      <c r="D5107">
        <v>184</v>
      </c>
    </row>
    <row r="5108" spans="1:4" x14ac:dyDescent="0.25">
      <c r="A5108" t="str">
        <f>T("   851632")</f>
        <v xml:space="preserve">   851632</v>
      </c>
      <c r="B5108" t="str">
        <f>T("   Appareils électrothermiques pour la coiffure (autres que sèche-cheveux)")</f>
        <v xml:space="preserve">   Appareils électrothermiques pour la coiffure (autres que sèche-cheveux)</v>
      </c>
      <c r="C5108">
        <v>2141709</v>
      </c>
      <c r="D5108">
        <v>184</v>
      </c>
    </row>
    <row r="5109" spans="1:4" x14ac:dyDescent="0.25">
      <c r="A5109" t="str">
        <f>T("   851640")</f>
        <v xml:space="preserve">   851640</v>
      </c>
      <c r="B5109" t="str">
        <f>T("   Fers à repasser électriques")</f>
        <v xml:space="preserve">   Fers à repasser électriques</v>
      </c>
      <c r="C5109">
        <v>14596828</v>
      </c>
      <c r="D5109">
        <v>23713</v>
      </c>
    </row>
    <row r="5110" spans="1:4" x14ac:dyDescent="0.25">
      <c r="A5110" t="str">
        <f>T("   851650")</f>
        <v xml:space="preserve">   851650</v>
      </c>
      <c r="B5110" t="str">
        <f>T("   Fours à micro-ondes")</f>
        <v xml:space="preserve">   Fours à micro-ondes</v>
      </c>
      <c r="C5110">
        <v>3939174</v>
      </c>
      <c r="D5110">
        <v>4005</v>
      </c>
    </row>
    <row r="5111" spans="1:4" x14ac:dyDescent="0.25">
      <c r="A5111" t="str">
        <f>T("   851660")</f>
        <v xml:space="preserve">   851660</v>
      </c>
      <c r="B5111"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5111">
        <v>19307455</v>
      </c>
      <c r="D5111">
        <v>6636</v>
      </c>
    </row>
    <row r="5112" spans="1:4" x14ac:dyDescent="0.25">
      <c r="A5112" t="str">
        <f>T("   851671")</f>
        <v xml:space="preserve">   851671</v>
      </c>
      <c r="B5112" t="str">
        <f>T("   Appareils électriques pour la préparation du café ou du thé, pour usages domestiques")</f>
        <v xml:space="preserve">   Appareils électriques pour la préparation du café ou du thé, pour usages domestiques</v>
      </c>
      <c r="C5112">
        <v>26478745</v>
      </c>
      <c r="D5112">
        <v>2842</v>
      </c>
    </row>
    <row r="5113" spans="1:4" x14ac:dyDescent="0.25">
      <c r="A5113" t="str">
        <f>T("   851672")</f>
        <v xml:space="preserve">   851672</v>
      </c>
      <c r="B5113" t="str">
        <f>T("   Grille-pain électriques, pour usages domestiques")</f>
        <v xml:space="preserve">   Grille-pain électriques, pour usages domestiques</v>
      </c>
      <c r="C5113">
        <v>9711487</v>
      </c>
      <c r="D5113">
        <v>306</v>
      </c>
    </row>
    <row r="5114" spans="1:4" x14ac:dyDescent="0.25">
      <c r="A5114" t="str">
        <f>T("   851679")</f>
        <v xml:space="preserve">   851679</v>
      </c>
      <c r="B5114" t="s">
        <v>451</v>
      </c>
      <c r="C5114">
        <v>36460399</v>
      </c>
      <c r="D5114">
        <v>5397</v>
      </c>
    </row>
    <row r="5115" spans="1:4" x14ac:dyDescent="0.25">
      <c r="A5115" t="str">
        <f>T("   851680")</f>
        <v xml:space="preserve">   851680</v>
      </c>
      <c r="B5115" t="str">
        <f>T("   Résistances chauffantes (autres qu'en charbon aggloméré ou graphite)")</f>
        <v xml:space="preserve">   Résistances chauffantes (autres qu'en charbon aggloméré ou graphite)</v>
      </c>
      <c r="C5115">
        <v>2543729</v>
      </c>
      <c r="D5115">
        <v>131</v>
      </c>
    </row>
    <row r="5116" spans="1:4" x14ac:dyDescent="0.25">
      <c r="A5116" t="str">
        <f>T("   851690")</f>
        <v xml:space="preserve">   851690</v>
      </c>
      <c r="B5116"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5116">
        <v>12539541</v>
      </c>
      <c r="D5116">
        <v>909</v>
      </c>
    </row>
    <row r="5117" spans="1:4" x14ac:dyDescent="0.25">
      <c r="A5117" t="str">
        <f>T("   851711")</f>
        <v xml:space="preserve">   851711</v>
      </c>
      <c r="B5117" t="str">
        <f>T("   Postes téléphoniques d'usagers pour la téléphonie par fil à combinés sans fil")</f>
        <v xml:space="preserve">   Postes téléphoniques d'usagers pour la téléphonie par fil à combinés sans fil</v>
      </c>
      <c r="C5117">
        <v>195986036</v>
      </c>
      <c r="D5117">
        <v>3681</v>
      </c>
    </row>
    <row r="5118" spans="1:4" x14ac:dyDescent="0.25">
      <c r="A5118" t="str">
        <f>T("   851719")</f>
        <v xml:space="preserve">   851719</v>
      </c>
      <c r="B5118"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5118">
        <v>12929928</v>
      </c>
      <c r="D5118">
        <v>391</v>
      </c>
    </row>
    <row r="5119" spans="1:4" x14ac:dyDescent="0.25">
      <c r="A5119" t="str">
        <f>T("   851721")</f>
        <v xml:space="preserve">   851721</v>
      </c>
      <c r="B5119" t="str">
        <f>T("   Télécopieurs pour la téléphonie par fil")</f>
        <v xml:space="preserve">   Télécopieurs pour la téléphonie par fil</v>
      </c>
      <c r="C5119">
        <v>42637</v>
      </c>
      <c r="D5119">
        <v>31</v>
      </c>
    </row>
    <row r="5120" spans="1:4" x14ac:dyDescent="0.25">
      <c r="A5120" t="str">
        <f>T("   851750")</f>
        <v xml:space="preserve">   851750</v>
      </c>
      <c r="B5120" t="s">
        <v>452</v>
      </c>
      <c r="C5120">
        <v>15428836</v>
      </c>
      <c r="D5120">
        <v>7058</v>
      </c>
    </row>
    <row r="5121" spans="1:4" x14ac:dyDescent="0.25">
      <c r="A5121" t="str">
        <f>T("   851780")</f>
        <v xml:space="preserve">   851780</v>
      </c>
      <c r="B5121" t="s">
        <v>453</v>
      </c>
      <c r="C5121">
        <v>4273301412</v>
      </c>
      <c r="D5121">
        <v>90740.2</v>
      </c>
    </row>
    <row r="5122" spans="1:4" x14ac:dyDescent="0.25">
      <c r="A5122" t="str">
        <f>T("   851790")</f>
        <v xml:space="preserve">   851790</v>
      </c>
      <c r="B5122" t="s">
        <v>454</v>
      </c>
      <c r="C5122">
        <v>50344476</v>
      </c>
      <c r="D5122">
        <v>1526.4</v>
      </c>
    </row>
    <row r="5123" spans="1:4" x14ac:dyDescent="0.25">
      <c r="A5123" t="str">
        <f>T("   851821")</f>
        <v xml:space="preserve">   851821</v>
      </c>
      <c r="B5123" t="str">
        <f>T("   Haut-parleur unique monté dans son enceinte")</f>
        <v xml:space="preserve">   Haut-parleur unique monté dans son enceinte</v>
      </c>
      <c r="C5123">
        <v>60348</v>
      </c>
      <c r="D5123">
        <v>3</v>
      </c>
    </row>
    <row r="5124" spans="1:4" x14ac:dyDescent="0.25">
      <c r="A5124" t="str">
        <f>T("   851829")</f>
        <v xml:space="preserve">   851829</v>
      </c>
      <c r="B5124" t="str">
        <f>T("   Haut-parleurs sans enceinte")</f>
        <v xml:space="preserve">   Haut-parleurs sans enceinte</v>
      </c>
      <c r="C5124">
        <v>10756842</v>
      </c>
      <c r="D5124">
        <v>2553</v>
      </c>
    </row>
    <row r="5125" spans="1:4" x14ac:dyDescent="0.25">
      <c r="A5125" t="str">
        <f>T("   851830")</f>
        <v xml:space="preserve">   851830</v>
      </c>
      <c r="B5125" t="s">
        <v>455</v>
      </c>
      <c r="C5125">
        <v>636282</v>
      </c>
      <c r="D5125">
        <v>47</v>
      </c>
    </row>
    <row r="5126" spans="1:4" x14ac:dyDescent="0.25">
      <c r="A5126" t="str">
        <f>T("   851840")</f>
        <v xml:space="preserve">   851840</v>
      </c>
      <c r="B5126" t="str">
        <f>T("   Amplificateurs électriques d'audiofréquence")</f>
        <v xml:space="preserve">   Amplificateurs électriques d'audiofréquence</v>
      </c>
      <c r="C5126">
        <v>1077742</v>
      </c>
      <c r="D5126">
        <v>2084.5</v>
      </c>
    </row>
    <row r="5127" spans="1:4" x14ac:dyDescent="0.25">
      <c r="A5127" t="str">
        <f>T("   851850")</f>
        <v xml:space="preserve">   851850</v>
      </c>
      <c r="B5127" t="str">
        <f>T("   Appareils électriques d'amplification du son")</f>
        <v xml:space="preserve">   Appareils électriques d'amplification du son</v>
      </c>
      <c r="C5127">
        <v>596924</v>
      </c>
      <c r="D5127">
        <v>380</v>
      </c>
    </row>
    <row r="5128" spans="1:4" x14ac:dyDescent="0.25">
      <c r="A5128" t="str">
        <f>T("   851999")</f>
        <v xml:space="preserve">   851999</v>
      </c>
      <c r="B5128"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5128">
        <v>10346106</v>
      </c>
      <c r="D5128">
        <v>5721</v>
      </c>
    </row>
    <row r="5129" spans="1:4" x14ac:dyDescent="0.25">
      <c r="A5129" t="str">
        <f>T("   852033")</f>
        <v xml:space="preserve">   852033</v>
      </c>
      <c r="B5129" t="str">
        <f>T("   Appareils d'enregistrement et de reproduction du son, à cassettes (autres que numériques)")</f>
        <v xml:space="preserve">   Appareils d'enregistrement et de reproduction du son, à cassettes (autres que numériques)</v>
      </c>
      <c r="C5129">
        <v>273988</v>
      </c>
      <c r="D5129">
        <v>1705</v>
      </c>
    </row>
    <row r="5130" spans="1:4" x14ac:dyDescent="0.25">
      <c r="A5130" t="str">
        <f>T("   852039")</f>
        <v xml:space="preserve">   852039</v>
      </c>
      <c r="B5130" t="str">
        <f>T("   Appareils d'enregistrement et de reproduction du son, sur bandes magnétiques (autres que numériques, machines à dicter ne pouvant fonctionner qu'avec source d'énergie extérieure, répondeurs téléphoniques et enregistreurs à cassettes)")</f>
        <v xml:space="preserve">   Appareils d'enregistrement et de reproduction du son, sur bandes magnétiques (autres que numériques, machines à dicter ne pouvant fonctionner qu'avec source d'énergie extérieure, répondeurs téléphoniques et enregistreurs à cassettes)</v>
      </c>
      <c r="C5130">
        <v>335852</v>
      </c>
      <c r="D5130">
        <v>95</v>
      </c>
    </row>
    <row r="5131" spans="1:4" x14ac:dyDescent="0.25">
      <c r="A5131" t="str">
        <f>T("   852110")</f>
        <v xml:space="preserve">   852110</v>
      </c>
      <c r="B5131" t="s">
        <v>456</v>
      </c>
      <c r="C5131">
        <v>3743564</v>
      </c>
      <c r="D5131">
        <v>149</v>
      </c>
    </row>
    <row r="5132" spans="1:4" x14ac:dyDescent="0.25">
      <c r="A5132" t="str">
        <f>T("   852190")</f>
        <v xml:space="preserve">   852190</v>
      </c>
      <c r="B5132" t="s">
        <v>457</v>
      </c>
      <c r="C5132">
        <v>4353471</v>
      </c>
      <c r="D5132">
        <v>6532</v>
      </c>
    </row>
    <row r="5133" spans="1:4" x14ac:dyDescent="0.25">
      <c r="A5133" t="str">
        <f>T("   852290")</f>
        <v xml:space="preserve">   852290</v>
      </c>
      <c r="B5133" t="s">
        <v>458</v>
      </c>
      <c r="C5133">
        <v>641530</v>
      </c>
      <c r="D5133">
        <v>53</v>
      </c>
    </row>
    <row r="5134" spans="1:4" x14ac:dyDescent="0.25">
      <c r="A5134" t="str">
        <f>T("   852313")</f>
        <v xml:space="preserve">   852313</v>
      </c>
      <c r="B5134" t="str">
        <f>T("   Bandes magnétiques non enregistrées, largeur &gt; 6,5 mm")</f>
        <v xml:space="preserve">   Bandes magnétiques non enregistrées, largeur &gt; 6,5 mm</v>
      </c>
      <c r="C5134">
        <v>197615</v>
      </c>
      <c r="D5134">
        <v>2</v>
      </c>
    </row>
    <row r="5135" spans="1:4" x14ac:dyDescent="0.25">
      <c r="A5135" t="str">
        <f>T("   852320")</f>
        <v xml:space="preserve">   852320</v>
      </c>
      <c r="B5135" t="str">
        <f>T("   DISQUES MAGNÉTIQUES NON-ENREGISTRÉS")</f>
        <v xml:space="preserve">   DISQUES MAGNÉTIQUES NON-ENREGISTRÉS</v>
      </c>
      <c r="C5135">
        <v>371896</v>
      </c>
      <c r="D5135">
        <v>1</v>
      </c>
    </row>
    <row r="5136" spans="1:4" x14ac:dyDescent="0.25">
      <c r="A5136" t="str">
        <f>T("   852330")</f>
        <v xml:space="preserve">   852330</v>
      </c>
      <c r="B5136" t="str">
        <f>T("   Cartes munies d'une piste magnétique non enregistrée")</f>
        <v xml:space="preserve">   Cartes munies d'une piste magnétique non enregistrée</v>
      </c>
      <c r="C5136">
        <v>841685891</v>
      </c>
      <c r="D5136">
        <v>11748</v>
      </c>
    </row>
    <row r="5137" spans="1:4" x14ac:dyDescent="0.25">
      <c r="A5137" t="str">
        <f>T("   852390")</f>
        <v xml:space="preserve">   852390</v>
      </c>
      <c r="B5137"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5137">
        <v>33145736</v>
      </c>
      <c r="D5137">
        <v>14562</v>
      </c>
    </row>
    <row r="5138" spans="1:4" x14ac:dyDescent="0.25">
      <c r="A5138" t="str">
        <f>T("   852432")</f>
        <v xml:space="preserve">   852432</v>
      </c>
      <c r="B5138" t="str">
        <f>T("   Disques enregistrés pour systèmes de lecture optique par faisceau laser, pour la reproduction du son uniquement")</f>
        <v xml:space="preserve">   Disques enregistrés pour systèmes de lecture optique par faisceau laser, pour la reproduction du son uniquement</v>
      </c>
      <c r="C5138">
        <v>1659454</v>
      </c>
      <c r="D5138">
        <v>149</v>
      </c>
    </row>
    <row r="5139" spans="1:4" x14ac:dyDescent="0.25">
      <c r="A5139" t="str">
        <f>T("   852439")</f>
        <v xml:space="preserve">   852439</v>
      </c>
      <c r="B5139"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5139">
        <v>1074009</v>
      </c>
      <c r="D5139">
        <v>471</v>
      </c>
    </row>
    <row r="5140" spans="1:4" x14ac:dyDescent="0.25">
      <c r="A5140" t="str">
        <f>T("   852460")</f>
        <v xml:space="preserve">   852460</v>
      </c>
      <c r="B5140" t="str">
        <f>T("   Cartes munies d'une piste magnétique enregistrée")</f>
        <v xml:space="preserve">   Cartes munies d'une piste magnétique enregistrée</v>
      </c>
      <c r="C5140">
        <v>10970644</v>
      </c>
      <c r="D5140">
        <v>54.7</v>
      </c>
    </row>
    <row r="5141" spans="1:4" x14ac:dyDescent="0.25">
      <c r="A5141" t="str">
        <f>T("   852491")</f>
        <v xml:space="preserve">   852491</v>
      </c>
      <c r="B5141" t="s">
        <v>459</v>
      </c>
      <c r="C5141">
        <v>17507088</v>
      </c>
      <c r="D5141">
        <v>8384</v>
      </c>
    </row>
    <row r="5142" spans="1:4" x14ac:dyDescent="0.25">
      <c r="A5142" t="str">
        <f>T("   852499")</f>
        <v xml:space="preserve">   852499</v>
      </c>
      <c r="B5142" t="s">
        <v>460</v>
      </c>
      <c r="C5142">
        <v>1840404</v>
      </c>
      <c r="D5142">
        <v>10177</v>
      </c>
    </row>
    <row r="5143" spans="1:4" x14ac:dyDescent="0.25">
      <c r="A5143" t="str">
        <f>T("   852510")</f>
        <v xml:space="preserve">   852510</v>
      </c>
      <c r="B5143" t="str">
        <f>T("   Appareils d'émission, pour la radiotéléphonie, la radiotélégraphie, la radiodiffusion ou la télévision")</f>
        <v xml:space="preserve">   Appareils d'émission, pour la radiotéléphonie, la radiotélégraphie, la radiodiffusion ou la télévision</v>
      </c>
      <c r="C5143">
        <v>4288011</v>
      </c>
      <c r="D5143">
        <v>707</v>
      </c>
    </row>
    <row r="5144" spans="1:4" x14ac:dyDescent="0.25">
      <c r="A5144" t="str">
        <f>T("   852520")</f>
        <v xml:space="preserve">   852520</v>
      </c>
      <c r="B5144"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5144">
        <v>975642</v>
      </c>
      <c r="D5144">
        <v>202</v>
      </c>
    </row>
    <row r="5145" spans="1:4" x14ac:dyDescent="0.25">
      <c r="A5145" t="str">
        <f>T("   852530")</f>
        <v xml:space="preserve">   852530</v>
      </c>
      <c r="B5145" t="str">
        <f>T("   Caméras de télévision (à l'excl. de caméscopes)")</f>
        <v xml:space="preserve">   Caméras de télévision (à l'excl. de caméscopes)</v>
      </c>
      <c r="C5145">
        <v>180000</v>
      </c>
      <c r="D5145">
        <v>128</v>
      </c>
    </row>
    <row r="5146" spans="1:4" x14ac:dyDescent="0.25">
      <c r="A5146" t="str">
        <f>T("   852540")</f>
        <v xml:space="preserve">   852540</v>
      </c>
      <c r="B5146" t="str">
        <f>T("   Appareils de prise de vues fixes vidéo et autres caméscopes; appareils photographiques numériques")</f>
        <v xml:space="preserve">   Appareils de prise de vues fixes vidéo et autres caméscopes; appareils photographiques numériques</v>
      </c>
      <c r="C5146">
        <v>1465335</v>
      </c>
      <c r="D5146">
        <v>268</v>
      </c>
    </row>
    <row r="5147" spans="1:4" x14ac:dyDescent="0.25">
      <c r="A5147" t="str">
        <f>T("   852610")</f>
        <v xml:space="preserve">   852610</v>
      </c>
      <c r="B5147" t="str">
        <f>T("   Appareils de radiodétection et de radiosondage [radar]")</f>
        <v xml:space="preserve">   Appareils de radiodétection et de radiosondage [radar]</v>
      </c>
      <c r="C5147">
        <v>167270</v>
      </c>
      <c r="D5147">
        <v>47</v>
      </c>
    </row>
    <row r="5148" spans="1:4" x14ac:dyDescent="0.25">
      <c r="A5148" t="str">
        <f>T("   852691")</f>
        <v xml:space="preserve">   852691</v>
      </c>
      <c r="B5148" t="str">
        <f>T("   Appareils de radionavigation")</f>
        <v xml:space="preserve">   Appareils de radionavigation</v>
      </c>
      <c r="C5148">
        <v>409975</v>
      </c>
      <c r="D5148">
        <v>3</v>
      </c>
    </row>
    <row r="5149" spans="1:4" x14ac:dyDescent="0.25">
      <c r="A5149" t="str">
        <f>T("   852713")</f>
        <v xml:space="preserve">   852713</v>
      </c>
      <c r="B5149"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5149">
        <v>27838023</v>
      </c>
      <c r="D5149">
        <v>8665</v>
      </c>
    </row>
    <row r="5150" spans="1:4" x14ac:dyDescent="0.25">
      <c r="A5150" t="str">
        <f>T("   852719")</f>
        <v xml:space="preserve">   852719</v>
      </c>
      <c r="B5150"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5150">
        <v>2703790</v>
      </c>
      <c r="D5150">
        <v>2322</v>
      </c>
    </row>
    <row r="5151" spans="1:4" x14ac:dyDescent="0.25">
      <c r="A5151" t="str">
        <f>T("   852721")</f>
        <v xml:space="preserve">   852721</v>
      </c>
      <c r="B5151" t="str">
        <f>T("   RÉCEPTEURS DE RADIODIFFUSION NE POUVANT FONCTIONNER QU'AVEC UNE SOURCE D'ÉNERGIE EXTÉRIEURE, POUR VÉHICULES AUTOMOBILES, COMBINÉS À UN APPAREIL D'ENREGISTREMENT OU DE REPRODUCTION DU SON")</f>
        <v xml:space="preserve">   RÉCEPTEURS DE RADIODIFFUSION NE POUVANT FONCTIONNER QU'AVEC UNE SOURCE D'ÉNERGIE EXTÉRIEURE, POUR VÉHICULES AUTOMOBILES, COMBINÉS À UN APPAREIL D'ENREGISTREMENT OU DE REPRODUCTION DU SON</v>
      </c>
      <c r="C5151">
        <v>2421149</v>
      </c>
      <c r="D5151">
        <v>200</v>
      </c>
    </row>
    <row r="5152" spans="1:4" x14ac:dyDescent="0.25">
      <c r="A5152" t="str">
        <f>T("   852729")</f>
        <v xml:space="preserve">   852729</v>
      </c>
      <c r="B5152" t="s">
        <v>461</v>
      </c>
      <c r="C5152">
        <v>908504</v>
      </c>
      <c r="D5152">
        <v>84</v>
      </c>
    </row>
    <row r="5153" spans="1:4" x14ac:dyDescent="0.25">
      <c r="A5153" t="str">
        <f>T("   852731")</f>
        <v xml:space="preserve">   852731</v>
      </c>
      <c r="B5153" t="s">
        <v>462</v>
      </c>
      <c r="C5153">
        <v>65596</v>
      </c>
      <c r="D5153">
        <v>8</v>
      </c>
    </row>
    <row r="5154" spans="1:4" x14ac:dyDescent="0.25">
      <c r="A5154" t="str">
        <f>T("   852790")</f>
        <v xml:space="preserve">   852790</v>
      </c>
      <c r="B5154" t="str">
        <f>T("   Récepteurs pour la radiotéléphonie, la radiotélégraphie ou la radiodiffusion commerciale")</f>
        <v xml:space="preserve">   Récepteurs pour la radiotéléphonie, la radiotélégraphie ou la radiodiffusion commerciale</v>
      </c>
      <c r="C5154">
        <v>3601299</v>
      </c>
      <c r="D5154">
        <v>5486</v>
      </c>
    </row>
    <row r="5155" spans="1:4" x14ac:dyDescent="0.25">
      <c r="A5155" t="str">
        <f>T("   852812")</f>
        <v xml:space="preserve">   852812</v>
      </c>
      <c r="B515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5155">
        <v>143265487</v>
      </c>
      <c r="D5155">
        <v>68116.2</v>
      </c>
    </row>
    <row r="5156" spans="1:4" x14ac:dyDescent="0.25">
      <c r="A5156" t="str">
        <f>T("   852813")</f>
        <v xml:space="preserve">   852813</v>
      </c>
      <c r="B5156"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5156">
        <v>746181</v>
      </c>
      <c r="D5156">
        <v>3069</v>
      </c>
    </row>
    <row r="5157" spans="1:4" x14ac:dyDescent="0.25">
      <c r="A5157" t="str">
        <f>T("   852821")</f>
        <v xml:space="preserve">   852821</v>
      </c>
      <c r="B5157" t="str">
        <f>T("   Moniteurs vidéo en couleurs")</f>
        <v xml:space="preserve">   Moniteurs vidéo en couleurs</v>
      </c>
      <c r="C5157">
        <v>11557699</v>
      </c>
      <c r="D5157">
        <v>5134</v>
      </c>
    </row>
    <row r="5158" spans="1:4" x14ac:dyDescent="0.25">
      <c r="A5158" t="str">
        <f>T("   852830")</f>
        <v xml:space="preserve">   852830</v>
      </c>
      <c r="B5158" t="str">
        <f>T("   Projecteurs vidéo")</f>
        <v xml:space="preserve">   Projecteurs vidéo</v>
      </c>
      <c r="C5158">
        <v>12021188</v>
      </c>
      <c r="D5158">
        <v>263</v>
      </c>
    </row>
    <row r="5159" spans="1:4" x14ac:dyDescent="0.25">
      <c r="A5159" t="str">
        <f>T("   852910")</f>
        <v xml:space="preserve">   852910</v>
      </c>
      <c r="B5159"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5159">
        <v>75211636</v>
      </c>
      <c r="D5159">
        <v>18811</v>
      </c>
    </row>
    <row r="5160" spans="1:4" x14ac:dyDescent="0.25">
      <c r="A5160" t="str">
        <f>T("   852990")</f>
        <v xml:space="preserve">   852990</v>
      </c>
      <c r="B5160" t="s">
        <v>464</v>
      </c>
      <c r="C5160">
        <v>198201046</v>
      </c>
      <c r="D5160">
        <v>8874</v>
      </c>
    </row>
    <row r="5161" spans="1:4" x14ac:dyDescent="0.25">
      <c r="A5161" t="str">
        <f>T("   853080")</f>
        <v xml:space="preserve">   853080</v>
      </c>
      <c r="B5161" t="str">
        <f>T("   Appareils électriques de signalisation (autres que pour la transmission de messages), de sécurité, de contrôle ou de commande (autres que pour voies ferrées ou simil. et que les appareils mécaniques ou électromécaniques du n° 8608)")</f>
        <v xml:space="preserve">   Appareils électriques de signalisation (autres que pour la transmission de messages), de sécurité, de contrôle ou de commande (autres que pour voies ferrées ou simil. et que les appareils mécaniques ou électromécaniques du n° 8608)</v>
      </c>
      <c r="C5161">
        <v>229586</v>
      </c>
      <c r="D5161">
        <v>2800</v>
      </c>
    </row>
    <row r="5162" spans="1:4" x14ac:dyDescent="0.25">
      <c r="A5162" t="str">
        <f>T("   853110")</f>
        <v xml:space="preserve">   853110</v>
      </c>
      <c r="B5162" t="str">
        <f>T("   Avertisseurs électriques pour la protection contre le vol ou l'incendie et appareils simil.")</f>
        <v xml:space="preserve">   Avertisseurs électriques pour la protection contre le vol ou l'incendie et appareils simil.</v>
      </c>
      <c r="C5162">
        <v>12460309</v>
      </c>
      <c r="D5162">
        <v>443</v>
      </c>
    </row>
    <row r="5163" spans="1:4" x14ac:dyDescent="0.25">
      <c r="A5163" t="str">
        <f>T("   853120")</f>
        <v xml:space="preserve">   853120</v>
      </c>
      <c r="B5163" t="str">
        <f>T("   Panneaux indicateurs avec dispositifs à cristaux liquides [LCD] ou à diodes émettrices de lumière [LED] (autres que pour les véhicules automobiles, les bicyclettes ou les voies de communication)")</f>
        <v xml:space="preserve">   Panneaux indicateurs avec dispositifs à cristaux liquides [LCD] ou à diodes émettrices de lumière [LED] (autres que pour les véhicules automobiles, les bicyclettes ou les voies de communication)</v>
      </c>
      <c r="C5163">
        <v>13775</v>
      </c>
      <c r="D5163">
        <v>0.5</v>
      </c>
    </row>
    <row r="5164" spans="1:4" x14ac:dyDescent="0.25">
      <c r="A5164" t="str">
        <f>T("   853180")</f>
        <v xml:space="preserve">   853180</v>
      </c>
      <c r="B5164" t="s">
        <v>465</v>
      </c>
      <c r="C5164">
        <v>5286123</v>
      </c>
      <c r="D5164">
        <v>1556.4</v>
      </c>
    </row>
    <row r="5165" spans="1:4" x14ac:dyDescent="0.25">
      <c r="A5165" t="str">
        <f>T("   853190")</f>
        <v xml:space="preserve">   853190</v>
      </c>
      <c r="B5165" t="str">
        <f>T("   Parties des appareils électriques de signalisation acoustique ou visuelle, n.d.a.")</f>
        <v xml:space="preserve">   Parties des appareils électriques de signalisation acoustique ou visuelle, n.d.a.</v>
      </c>
      <c r="C5165">
        <v>1912852</v>
      </c>
      <c r="D5165">
        <v>84</v>
      </c>
    </row>
    <row r="5166" spans="1:4" x14ac:dyDescent="0.25">
      <c r="A5166" t="str">
        <f>T("   853210")</f>
        <v xml:space="preserve">   853210</v>
      </c>
      <c r="B5166" t="str">
        <f>T("   Condensateurs électriques fixes conçus pour les réseaux électriques de 50/60 Hz et capables d'absorber une puissance réactive &gt;= 0,5 kvar [condensateurs de puissance]")</f>
        <v xml:space="preserve">   Condensateurs électriques fixes conçus pour les réseaux électriques de 50/60 Hz et capables d'absorber une puissance réactive &gt;= 0,5 kvar [condensateurs de puissance]</v>
      </c>
      <c r="C5166">
        <v>2132526</v>
      </c>
      <c r="D5166">
        <v>48</v>
      </c>
    </row>
    <row r="5167" spans="1:4" x14ac:dyDescent="0.25">
      <c r="A5167" t="str">
        <f>T("   853229")</f>
        <v xml:space="preserve">   853229</v>
      </c>
      <c r="B5167" t="str">
        <f>T("   Condensateurs fixes (autres que condensateurs au tantale, condensateurs électrolytiques à l'aluminium, condensateurs diélectriques en céramique, en papier et en matières plastiques et condensateurs de puissance)")</f>
        <v xml:space="preserve">   Condensateurs fixes (autres que condensateurs au tantale, condensateurs électrolytiques à l'aluminium, condensateurs diélectriques en céramique, en papier et en matières plastiques et condensateurs de puissance)</v>
      </c>
      <c r="C5167">
        <v>1026577</v>
      </c>
      <c r="D5167">
        <v>2158.1999999999998</v>
      </c>
    </row>
    <row r="5168" spans="1:4" x14ac:dyDescent="0.25">
      <c r="A5168" t="str">
        <f>T("   853230")</f>
        <v xml:space="preserve">   853230</v>
      </c>
      <c r="B5168" t="str">
        <f>T("   Condensateurs électriques variables ou ajustables")</f>
        <v xml:space="preserve">   Condensateurs électriques variables ou ajustables</v>
      </c>
      <c r="C5168">
        <v>6997165</v>
      </c>
      <c r="D5168">
        <v>392</v>
      </c>
    </row>
    <row r="5169" spans="1:4" x14ac:dyDescent="0.25">
      <c r="A5169" t="str">
        <f>T("   853329")</f>
        <v xml:space="preserve">   853329</v>
      </c>
      <c r="B5169" t="str">
        <f>T("   Résistances électriques fixes, pour une puissance &gt; 20 W (non chauffantes)")</f>
        <v xml:space="preserve">   Résistances électriques fixes, pour une puissance &gt; 20 W (non chauffantes)</v>
      </c>
      <c r="C5169">
        <v>5248</v>
      </c>
      <c r="D5169">
        <v>1</v>
      </c>
    </row>
    <row r="5170" spans="1:4" x14ac:dyDescent="0.25">
      <c r="A5170" t="str">
        <f>T("   853340")</f>
        <v xml:space="preserve">   853340</v>
      </c>
      <c r="B5170" t="str">
        <f>T("   RÉSISTANCES ÉLECTRIQUES VARIABLES 'Y.C. LES RHÉOSTATS ET LES POTENTIOMÈTRES' (AUTRES QUE RÉSISTANCES VARIABLES BOBINÉES ET RÉSISTANCES CHAUFFANTES)")</f>
        <v xml:space="preserve">   RÉSISTANCES ÉLECTRIQUES VARIABLES 'Y.C. LES RHÉOSTATS ET LES POTENTIOMÈTRES' (AUTRES QUE RÉSISTANCES VARIABLES BOBINÉES ET RÉSISTANCES CHAUFFANTES)</v>
      </c>
      <c r="C5170">
        <v>1808560</v>
      </c>
      <c r="D5170">
        <v>2</v>
      </c>
    </row>
    <row r="5171" spans="1:4" x14ac:dyDescent="0.25">
      <c r="A5171" t="str">
        <f>T("   853400")</f>
        <v xml:space="preserve">   853400</v>
      </c>
      <c r="B5171" t="str">
        <f>T("   Circuits imprimés")</f>
        <v xml:space="preserve">   Circuits imprimés</v>
      </c>
      <c r="C5171">
        <v>1130876</v>
      </c>
      <c r="D5171">
        <v>10</v>
      </c>
    </row>
    <row r="5172" spans="1:4" x14ac:dyDescent="0.25">
      <c r="A5172" t="str">
        <f>T("   853529")</f>
        <v xml:space="preserve">   853529</v>
      </c>
      <c r="B5172" t="str">
        <f>T("   Disjoncteurs, pour une tension &gt;= 72,5 kV")</f>
        <v xml:space="preserve">   Disjoncteurs, pour une tension &gt;= 72,5 kV</v>
      </c>
      <c r="C5172">
        <v>2457712</v>
      </c>
      <c r="D5172">
        <v>1605</v>
      </c>
    </row>
    <row r="5173" spans="1:4" x14ac:dyDescent="0.25">
      <c r="A5173" t="str">
        <f>T("   853530")</f>
        <v xml:space="preserve">   853530</v>
      </c>
      <c r="B5173" t="str">
        <f>T("   Sectionneurs et interrupteurs, pour une tension &gt; 1.000 V")</f>
        <v xml:space="preserve">   Sectionneurs et interrupteurs, pour une tension &gt; 1.000 V</v>
      </c>
      <c r="C5173">
        <v>1538370</v>
      </c>
      <c r="D5173">
        <v>225</v>
      </c>
    </row>
    <row r="5174" spans="1:4" x14ac:dyDescent="0.25">
      <c r="A5174" t="str">
        <f>T("   853540")</f>
        <v xml:space="preserve">   853540</v>
      </c>
      <c r="B5174" t="str">
        <f>T("   Parafoudres, limiteurs de tension et étaleurs d'ondes, pour une tension &gt; 1.000 V")</f>
        <v xml:space="preserve">   Parafoudres, limiteurs de tension et étaleurs d'ondes, pour une tension &gt; 1.000 V</v>
      </c>
      <c r="C5174">
        <v>64685829</v>
      </c>
      <c r="D5174">
        <v>3285.49</v>
      </c>
    </row>
    <row r="5175" spans="1:4" x14ac:dyDescent="0.25">
      <c r="A5175" t="str">
        <f>T("   853590")</f>
        <v xml:space="preserve">   853590</v>
      </c>
      <c r="B5175" t="s">
        <v>466</v>
      </c>
      <c r="C5175">
        <v>40410022</v>
      </c>
      <c r="D5175">
        <v>36079</v>
      </c>
    </row>
    <row r="5176" spans="1:4" x14ac:dyDescent="0.25">
      <c r="A5176" t="str">
        <f>T("   853610")</f>
        <v xml:space="preserve">   853610</v>
      </c>
      <c r="B5176" t="str">
        <f>T("   Fusibles et coupe-circuit à fusibles, pour une tension &lt;= 1.000 V")</f>
        <v xml:space="preserve">   Fusibles et coupe-circuit à fusibles, pour une tension &lt;= 1.000 V</v>
      </c>
      <c r="C5176">
        <v>2472629</v>
      </c>
      <c r="D5176">
        <v>179</v>
      </c>
    </row>
    <row r="5177" spans="1:4" x14ac:dyDescent="0.25">
      <c r="A5177" t="str">
        <f>T("   853620")</f>
        <v xml:space="preserve">   853620</v>
      </c>
      <c r="B5177" t="str">
        <f>T("   Disjoncteurs, pour une tension &lt;= 1.000 V")</f>
        <v xml:space="preserve">   Disjoncteurs, pour une tension &lt;= 1.000 V</v>
      </c>
      <c r="C5177">
        <v>187708427</v>
      </c>
      <c r="D5177">
        <v>17698.5</v>
      </c>
    </row>
    <row r="5178" spans="1:4" x14ac:dyDescent="0.25">
      <c r="A5178" t="str">
        <f>T("   853630")</f>
        <v xml:space="preserve">   853630</v>
      </c>
      <c r="B5178"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5178">
        <v>16077613</v>
      </c>
      <c r="D5178">
        <v>5500.25</v>
      </c>
    </row>
    <row r="5179" spans="1:4" x14ac:dyDescent="0.25">
      <c r="A5179" t="str">
        <f>T("   853649")</f>
        <v xml:space="preserve">   853649</v>
      </c>
      <c r="B5179" t="str">
        <f>T("   Relais, pour une tension &gt; 60 V mais &lt;= 1.000 V")</f>
        <v xml:space="preserve">   Relais, pour une tension &gt; 60 V mais &lt;= 1.000 V</v>
      </c>
      <c r="C5179">
        <v>26131034</v>
      </c>
      <c r="D5179">
        <v>747.35</v>
      </c>
    </row>
    <row r="5180" spans="1:4" x14ac:dyDescent="0.25">
      <c r="A5180" t="str">
        <f>T("   853650")</f>
        <v xml:space="preserve">   853650</v>
      </c>
      <c r="B5180" t="str">
        <f>T("   Interrupteurs, sectionneurs et commutateurs, pour une tension &lt;= 1.000 V (autres que relais et disjoncteurs)")</f>
        <v xml:space="preserve">   Interrupteurs, sectionneurs et commutateurs, pour une tension &lt;= 1.000 V (autres que relais et disjoncteurs)</v>
      </c>
      <c r="C5180">
        <v>121273140</v>
      </c>
      <c r="D5180">
        <v>19044.009999999998</v>
      </c>
    </row>
    <row r="5181" spans="1:4" x14ac:dyDescent="0.25">
      <c r="A5181" t="str">
        <f>T("   853661")</f>
        <v xml:space="preserve">   853661</v>
      </c>
      <c r="B5181" t="str">
        <f>T("   Douilles pour lampes, pour une tension &lt;= 1.000 V")</f>
        <v xml:space="preserve">   Douilles pour lampes, pour une tension &lt;= 1.000 V</v>
      </c>
      <c r="C5181">
        <v>30174</v>
      </c>
      <c r="D5181">
        <v>1</v>
      </c>
    </row>
    <row r="5182" spans="1:4" x14ac:dyDescent="0.25">
      <c r="A5182" t="str">
        <f>T("   853669")</f>
        <v xml:space="preserve">   853669</v>
      </c>
      <c r="B5182" t="str">
        <f>T("   Fiches et prises de courant, pour une tension &lt;= 1.000 V (sauf douilles pour lampes)")</f>
        <v xml:space="preserve">   Fiches et prises de courant, pour une tension &lt;= 1.000 V (sauf douilles pour lampes)</v>
      </c>
      <c r="C5182">
        <v>75468669</v>
      </c>
      <c r="D5182">
        <v>31625.19</v>
      </c>
    </row>
    <row r="5183" spans="1:4" x14ac:dyDescent="0.25">
      <c r="A5183" t="str">
        <f>T("   853690")</f>
        <v xml:space="preserve">   853690</v>
      </c>
      <c r="B5183" t="s">
        <v>467</v>
      </c>
      <c r="C5183">
        <v>346262811</v>
      </c>
      <c r="D5183">
        <v>157055</v>
      </c>
    </row>
    <row r="5184" spans="1:4" x14ac:dyDescent="0.25">
      <c r="A5184" t="str">
        <f>T("   853710")</f>
        <v xml:space="preserve">   853710</v>
      </c>
      <c r="B5184"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5184">
        <v>59683584</v>
      </c>
      <c r="D5184">
        <v>3317</v>
      </c>
    </row>
    <row r="5185" spans="1:4" x14ac:dyDescent="0.25">
      <c r="A5185" t="str">
        <f>T("   853720")</f>
        <v xml:space="preserve">   853720</v>
      </c>
      <c r="B5185"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5185">
        <v>339333081</v>
      </c>
      <c r="D5185">
        <v>28559</v>
      </c>
    </row>
    <row r="5186" spans="1:4" x14ac:dyDescent="0.25">
      <c r="A5186" t="str">
        <f>T("   853810")</f>
        <v xml:space="preserve">   853810</v>
      </c>
      <c r="B5186" t="str">
        <f>T("   Tableaux, panneaux, consoles, pupitres, armoires et autres supports pour articles du n° 8537, dépourvus de leurs appareils")</f>
        <v xml:space="preserve">   Tableaux, panneaux, consoles, pupitres, armoires et autres supports pour articles du n° 8537, dépourvus de leurs appareils</v>
      </c>
      <c r="C5186">
        <v>32088760</v>
      </c>
      <c r="D5186">
        <v>37156</v>
      </c>
    </row>
    <row r="5187" spans="1:4" x14ac:dyDescent="0.25">
      <c r="A5187" t="str">
        <f>T("   853890")</f>
        <v xml:space="preserve">   853890</v>
      </c>
      <c r="B5187" t="s">
        <v>468</v>
      </c>
      <c r="C5187">
        <v>230155896</v>
      </c>
      <c r="D5187">
        <v>124599.7</v>
      </c>
    </row>
    <row r="5188" spans="1:4" x14ac:dyDescent="0.25">
      <c r="A5188" t="str">
        <f>T("   853910")</f>
        <v xml:space="preserve">   853910</v>
      </c>
      <c r="B5188" t="str">
        <f>T("   Phares et projecteurs scellés")</f>
        <v xml:space="preserve">   Phares et projecteurs scellés</v>
      </c>
      <c r="C5188">
        <v>67420</v>
      </c>
      <c r="D5188">
        <v>15</v>
      </c>
    </row>
    <row r="5189" spans="1:4" x14ac:dyDescent="0.25">
      <c r="A5189" t="str">
        <f>T("   853921")</f>
        <v xml:space="preserve">   853921</v>
      </c>
      <c r="B5189" t="str">
        <f>T("   Lampes et tubes halogènes, au tungstène (autres que phares et projecteurs scellés)")</f>
        <v xml:space="preserve">   Lampes et tubes halogènes, au tungstène (autres que phares et projecteurs scellés)</v>
      </c>
      <c r="C5189">
        <v>4338353</v>
      </c>
      <c r="D5189">
        <v>352.33</v>
      </c>
    </row>
    <row r="5190" spans="1:4" x14ac:dyDescent="0.25">
      <c r="A5190" t="str">
        <f>T("   853922")</f>
        <v xml:space="preserve">   853922</v>
      </c>
      <c r="B5190" t="str">
        <f>T("   Lampes et tubes à incandescence, puissance &lt;= 200 W, tension &gt; 100 V (autres que lampes et tubes halogènes, au tungstène et lampes à rayons ultraviolets ou infrarouges)")</f>
        <v xml:space="preserve">   Lampes et tubes à incandescence, puissance &lt;= 200 W, tension &gt; 100 V (autres que lampes et tubes halogènes, au tungstène et lampes à rayons ultraviolets ou infrarouges)</v>
      </c>
      <c r="C5190">
        <v>1230581</v>
      </c>
      <c r="D5190">
        <v>164</v>
      </c>
    </row>
    <row r="5191" spans="1:4" x14ac:dyDescent="0.25">
      <c r="A5191" t="str">
        <f>T("   853929")</f>
        <v xml:space="preserve">   853929</v>
      </c>
      <c r="B5191"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5191">
        <v>6509905</v>
      </c>
      <c r="D5191">
        <v>3433</v>
      </c>
    </row>
    <row r="5192" spans="1:4" x14ac:dyDescent="0.25">
      <c r="A5192" t="str">
        <f>T("   853931")</f>
        <v xml:space="preserve">   853931</v>
      </c>
      <c r="B5192" t="str">
        <f>T("   Lampes et tubes à décharge, fluorescents, à cathode chaude")</f>
        <v xml:space="preserve">   Lampes et tubes à décharge, fluorescents, à cathode chaude</v>
      </c>
      <c r="C5192">
        <v>48872569</v>
      </c>
      <c r="D5192">
        <v>24310</v>
      </c>
    </row>
    <row r="5193" spans="1:4" x14ac:dyDescent="0.25">
      <c r="A5193" t="str">
        <f>T("   853939")</f>
        <v xml:space="preserve">   853939</v>
      </c>
      <c r="B5193"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5193">
        <v>28158641</v>
      </c>
      <c r="D5193">
        <v>4091.4</v>
      </c>
    </row>
    <row r="5194" spans="1:4" x14ac:dyDescent="0.25">
      <c r="A5194" t="str">
        <f>T("   853949")</f>
        <v xml:space="preserve">   853949</v>
      </c>
      <c r="B5194" t="str">
        <f>T("   Lampes et tubes à rayons ultraviolets ou infrarouges")</f>
        <v xml:space="preserve">   Lampes et tubes à rayons ultraviolets ou infrarouges</v>
      </c>
      <c r="C5194">
        <v>4821302</v>
      </c>
      <c r="D5194">
        <v>1765</v>
      </c>
    </row>
    <row r="5195" spans="1:4" x14ac:dyDescent="0.25">
      <c r="A5195" t="str">
        <f>T("   853990")</f>
        <v xml:space="preserve">   853990</v>
      </c>
      <c r="B5195" t="str">
        <f>T("   Parties de lampes et de tubes à incandescence ou à décharge, de phares et projecteurs scellés, de lampes à rayons ultraviolets et infrarouges et de lampes à arc, n.d.a.")</f>
        <v xml:space="preserve">   Parties de lampes et de tubes à incandescence ou à décharge, de phares et projecteurs scellés, de lampes à rayons ultraviolets et infrarouges et de lampes à arc, n.d.a.</v>
      </c>
      <c r="C5195">
        <v>379801</v>
      </c>
      <c r="D5195">
        <v>24</v>
      </c>
    </row>
    <row r="5196" spans="1:4" x14ac:dyDescent="0.25">
      <c r="A5196" t="str">
        <f>T("   854110")</f>
        <v xml:space="preserve">   854110</v>
      </c>
      <c r="B5196" t="str">
        <f>T("   Diodes (sauf photodiodes et diodes émettrices de lumière)")</f>
        <v xml:space="preserve">   Diodes (sauf photodiodes et diodes émettrices de lumière)</v>
      </c>
      <c r="C5196">
        <v>507713</v>
      </c>
      <c r="D5196">
        <v>3</v>
      </c>
    </row>
    <row r="5197" spans="1:4" x14ac:dyDescent="0.25">
      <c r="A5197" t="str">
        <f>T("   854140")</f>
        <v xml:space="preserve">   854140</v>
      </c>
      <c r="B5197"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5197">
        <v>7216215</v>
      </c>
      <c r="D5197">
        <v>1491</v>
      </c>
    </row>
    <row r="5198" spans="1:4" x14ac:dyDescent="0.25">
      <c r="A5198" t="str">
        <f>T("   854210")</f>
        <v xml:space="preserve">   854210</v>
      </c>
      <c r="B5198" t="str">
        <f>T("   Cartes munies d'un circuit intégré électronique [cartes intelligentes], munies ou non d'une piste magnétique")</f>
        <v xml:space="preserve">   Cartes munies d'un circuit intégré électronique [cartes intelligentes], munies ou non d'une piste magnétique</v>
      </c>
      <c r="C5198">
        <v>190336689</v>
      </c>
      <c r="D5198">
        <v>2746.5</v>
      </c>
    </row>
    <row r="5199" spans="1:4" x14ac:dyDescent="0.25">
      <c r="A5199" t="str">
        <f>T("   854221")</f>
        <v xml:space="preserve">   854221</v>
      </c>
      <c r="B5199" t="str">
        <f>T("   Circuits intégrés monolithiques, numériques (à l'excl. des cartes munies d'un circuit intégré électronique [cartes intelligentes])")</f>
        <v xml:space="preserve">   Circuits intégrés monolithiques, numériques (à l'excl. des cartes munies d'un circuit intégré électronique [cartes intelligentes])</v>
      </c>
      <c r="C5199">
        <v>5483924</v>
      </c>
      <c r="D5199">
        <v>295</v>
      </c>
    </row>
    <row r="5200" spans="1:4" x14ac:dyDescent="0.25">
      <c r="A5200" t="str">
        <f>T("   854229")</f>
        <v xml:space="preserve">   854229</v>
      </c>
      <c r="B5200" t="str">
        <f>T("   Circuits intégrés monolithiques, analogiques ou analogiques-numériques")</f>
        <v xml:space="preserve">   Circuits intégrés monolithiques, analogiques ou analogiques-numériques</v>
      </c>
      <c r="C5200">
        <v>3771311</v>
      </c>
      <c r="D5200">
        <v>59</v>
      </c>
    </row>
    <row r="5201" spans="1:4" x14ac:dyDescent="0.25">
      <c r="A5201" t="str">
        <f>T("   854260")</f>
        <v xml:space="preserve">   854260</v>
      </c>
      <c r="B5201" t="str">
        <f>T("   Circuits intégrés hybrides")</f>
        <v xml:space="preserve">   Circuits intégrés hybrides</v>
      </c>
      <c r="C5201">
        <v>387016</v>
      </c>
      <c r="D5201">
        <v>15</v>
      </c>
    </row>
    <row r="5202" spans="1:4" x14ac:dyDescent="0.25">
      <c r="A5202" t="str">
        <f>T("   854389")</f>
        <v xml:space="preserve">   854389</v>
      </c>
      <c r="B5202" t="str">
        <f>T("   MACHINES ET APPAREILS ÉLECTRIQUES AYANT UNE FONCTION PROPRE, N.D.A. DANS LE CHAPITRE 85")</f>
        <v xml:space="preserve">   MACHINES ET APPAREILS ÉLECTRIQUES AYANT UNE FONCTION PROPRE, N.D.A. DANS LE CHAPITRE 85</v>
      </c>
      <c r="C5202">
        <v>4971542</v>
      </c>
      <c r="D5202">
        <v>2448</v>
      </c>
    </row>
    <row r="5203" spans="1:4" x14ac:dyDescent="0.25">
      <c r="A5203" t="str">
        <f>T("   854390")</f>
        <v xml:space="preserve">   854390</v>
      </c>
      <c r="B5203" t="str">
        <f>T("   PARTIES DE MACHINES ET APPAREILS ÉLECTRIQUES AYANT UNE FONCTION PROPRE, N.D.A. DANS LE CHAPITRE 85")</f>
        <v xml:space="preserve">   PARTIES DE MACHINES ET APPAREILS ÉLECTRIQUES AYANT UNE FONCTION PROPRE, N.D.A. DANS LE CHAPITRE 85</v>
      </c>
      <c r="C5203">
        <v>851436</v>
      </c>
      <c r="D5203">
        <v>2</v>
      </c>
    </row>
    <row r="5204" spans="1:4" x14ac:dyDescent="0.25">
      <c r="A5204" t="str">
        <f>T("   854411")</f>
        <v xml:space="preserve">   854411</v>
      </c>
      <c r="B5204" t="str">
        <f>T("   Fils pour bobinages pour l'électricité, en cuivre, isolés")</f>
        <v xml:space="preserve">   Fils pour bobinages pour l'électricité, en cuivre, isolés</v>
      </c>
      <c r="C5204">
        <v>5395927</v>
      </c>
      <c r="D5204">
        <v>701</v>
      </c>
    </row>
    <row r="5205" spans="1:4" x14ac:dyDescent="0.25">
      <c r="A5205" t="str">
        <f>T("   854419")</f>
        <v xml:space="preserve">   854419</v>
      </c>
      <c r="B5205" t="str">
        <f>T("   Fils pour bobinages pour l'électricité, autres qu'en cuivre, isolés")</f>
        <v xml:space="preserve">   Fils pour bobinages pour l'électricité, autres qu'en cuivre, isolés</v>
      </c>
      <c r="C5205">
        <v>1163673</v>
      </c>
      <c r="D5205">
        <v>142</v>
      </c>
    </row>
    <row r="5206" spans="1:4" x14ac:dyDescent="0.25">
      <c r="A5206" t="str">
        <f>T("   854420")</f>
        <v xml:space="preserve">   854420</v>
      </c>
      <c r="B5206" t="str">
        <f>T("   Câbles coaxiaux et autres conducteurs électriques coaxiaux, isolés")</f>
        <v xml:space="preserve">   Câbles coaxiaux et autres conducteurs électriques coaxiaux, isolés</v>
      </c>
      <c r="C5206">
        <v>39286968</v>
      </c>
      <c r="D5206">
        <v>9252.2999999999993</v>
      </c>
    </row>
    <row r="5207" spans="1:4" x14ac:dyDescent="0.25">
      <c r="A5207" t="str">
        <f>T("   854430")</f>
        <v xml:space="preserve">   854430</v>
      </c>
      <c r="B5207" t="str">
        <f>T("   Jeux de fils pour bougies d'allumage et autres jeux de fils, pour moyens de transport")</f>
        <v xml:space="preserve">   Jeux de fils pour bougies d'allumage et autres jeux de fils, pour moyens de transport</v>
      </c>
      <c r="C5207">
        <v>4048207</v>
      </c>
      <c r="D5207">
        <v>661</v>
      </c>
    </row>
    <row r="5208" spans="1:4" x14ac:dyDescent="0.25">
      <c r="A5208" t="str">
        <f>T("   854441")</f>
        <v xml:space="preserve">   854441</v>
      </c>
      <c r="B5208" t="str">
        <f>T("   Conducteurs électriques, pour tension &lt;= 80 V, isolés, avec pièces de connexion, n.d.a.")</f>
        <v xml:space="preserve">   Conducteurs électriques, pour tension &lt;= 80 V, isolés, avec pièces de connexion, n.d.a.</v>
      </c>
      <c r="C5208">
        <v>4275608</v>
      </c>
      <c r="D5208">
        <v>561.07000000000005</v>
      </c>
    </row>
    <row r="5209" spans="1:4" x14ac:dyDescent="0.25">
      <c r="A5209" t="str">
        <f>T("   854449")</f>
        <v xml:space="preserve">   854449</v>
      </c>
      <c r="B5209" t="str">
        <f>T("   CONDUCTEURS ÉLECTRIQUES, POUR TENSION &lt;= 1.000 V, ISOLÉS, SANS PIÈCES DE CONNEXION, N.D.A.")</f>
        <v xml:space="preserve">   CONDUCTEURS ÉLECTRIQUES, POUR TENSION &lt;= 1.000 V, ISOLÉS, SANS PIÈCES DE CONNEXION, N.D.A.</v>
      </c>
      <c r="C5209">
        <v>61169642</v>
      </c>
      <c r="D5209">
        <v>18998</v>
      </c>
    </row>
    <row r="5210" spans="1:4" x14ac:dyDescent="0.25">
      <c r="A5210" t="str">
        <f>T("   854451")</f>
        <v xml:space="preserve">   854451</v>
      </c>
      <c r="B5210" t="str">
        <f>T("   Conducteurs électriques, pour tension &gt; 80 V mais &lt;= 1.000 V, avec pièces de connexion, n.d.a.")</f>
        <v xml:space="preserve">   Conducteurs électriques, pour tension &gt; 80 V mais &lt;= 1.000 V, avec pièces de connexion, n.d.a.</v>
      </c>
      <c r="C5210">
        <v>37381366</v>
      </c>
      <c r="D5210">
        <v>19912</v>
      </c>
    </row>
    <row r="5211" spans="1:4" x14ac:dyDescent="0.25">
      <c r="A5211" t="str">
        <f>T("   854459")</f>
        <v xml:space="preserve">   854459</v>
      </c>
      <c r="B5211" t="str">
        <f>T("   Conducteurs électriques, pour tension &gt; 80 V mais &lt;= 1.000 V, sans pièces de connexion, n.d.a.")</f>
        <v xml:space="preserve">   Conducteurs électriques, pour tension &gt; 80 V mais &lt;= 1.000 V, sans pièces de connexion, n.d.a.</v>
      </c>
      <c r="C5211">
        <v>64833498</v>
      </c>
      <c r="D5211">
        <v>27822</v>
      </c>
    </row>
    <row r="5212" spans="1:4" x14ac:dyDescent="0.25">
      <c r="A5212" t="str">
        <f>T("   854460")</f>
        <v xml:space="preserve">   854460</v>
      </c>
      <c r="B5212" t="str">
        <f>T("   Conducteurs électriques, pour tension &gt; 1.000 V, n.d.a.")</f>
        <v xml:space="preserve">   Conducteurs électriques, pour tension &gt; 1.000 V, n.d.a.</v>
      </c>
      <c r="C5212">
        <v>209514508</v>
      </c>
      <c r="D5212">
        <v>82851</v>
      </c>
    </row>
    <row r="5213" spans="1:4" x14ac:dyDescent="0.25">
      <c r="A5213" t="str">
        <f>T("   854470")</f>
        <v xml:space="preserve">   854470</v>
      </c>
      <c r="B5213"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5213">
        <v>40630156</v>
      </c>
      <c r="D5213">
        <v>10070</v>
      </c>
    </row>
    <row r="5214" spans="1:4" x14ac:dyDescent="0.25">
      <c r="A5214" t="str">
        <f>T("   854519")</f>
        <v xml:space="preserve">   854519</v>
      </c>
      <c r="B5214" t="str">
        <f>T("   ÉLECTRODES EN GRAPHITE OU EN AUTRE CARBONE, POUR USAGES ÉLECTRIQUES (AUTRES QUE POUR FOURS)")</f>
        <v xml:space="preserve">   ÉLECTRODES EN GRAPHITE OU EN AUTRE CARBONE, POUR USAGES ÉLECTRIQUES (AUTRES QUE POUR FOURS)</v>
      </c>
      <c r="C5214">
        <v>559534</v>
      </c>
      <c r="D5214">
        <v>22</v>
      </c>
    </row>
    <row r="5215" spans="1:4" x14ac:dyDescent="0.25">
      <c r="A5215" t="str">
        <f>T("   854520")</f>
        <v xml:space="preserve">   854520</v>
      </c>
      <c r="B5215" t="str">
        <f>T("   Balais en charbon, pour usages électriques")</f>
        <v xml:space="preserve">   Balais en charbon, pour usages électriques</v>
      </c>
      <c r="C5215">
        <v>729428</v>
      </c>
      <c r="D5215">
        <v>7</v>
      </c>
    </row>
    <row r="5216" spans="1:4" x14ac:dyDescent="0.25">
      <c r="A5216" t="str">
        <f>T("   854590")</f>
        <v xml:space="preserve">   854590</v>
      </c>
      <c r="B5216" t="str">
        <f>T("   Articles en graphite ou en autre carbone, pour usages électriques (autres qu'électrodes et balais)")</f>
        <v xml:space="preserve">   Articles en graphite ou en autre carbone, pour usages électriques (autres qu'électrodes et balais)</v>
      </c>
      <c r="C5216">
        <v>2206641</v>
      </c>
      <c r="D5216">
        <v>212</v>
      </c>
    </row>
    <row r="5217" spans="1:4" x14ac:dyDescent="0.25">
      <c r="A5217" t="str">
        <f>T("   854690")</f>
        <v xml:space="preserve">   854690</v>
      </c>
      <c r="B5217" t="str">
        <f>T("   Isolateurs pour usages électriques (sauf en verre ou en céramique et sauf pièces isolantes)")</f>
        <v xml:space="preserve">   Isolateurs pour usages électriques (sauf en verre ou en céramique et sauf pièces isolantes)</v>
      </c>
      <c r="C5217">
        <v>54210580</v>
      </c>
      <c r="D5217">
        <v>36712</v>
      </c>
    </row>
    <row r="5218" spans="1:4" x14ac:dyDescent="0.25">
      <c r="A5218" t="str">
        <f>T("   854720")</f>
        <v xml:space="preserve">   854720</v>
      </c>
      <c r="B5218" t="str">
        <f>T("   Pièces isolantes en matières plastiques, pour usages électriques")</f>
        <v xml:space="preserve">   Pièces isolantes en matières plastiques, pour usages électriques</v>
      </c>
      <c r="C5218">
        <v>341756</v>
      </c>
      <c r="D5218">
        <v>46</v>
      </c>
    </row>
    <row r="5219" spans="1:4" x14ac:dyDescent="0.25">
      <c r="A5219" t="str">
        <f>T("   854790")</f>
        <v xml:space="preserve">   854790</v>
      </c>
      <c r="B5219"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5219">
        <v>2581858</v>
      </c>
      <c r="D5219">
        <v>2284</v>
      </c>
    </row>
    <row r="5220" spans="1:4" x14ac:dyDescent="0.25">
      <c r="A5220" t="str">
        <f>T("   860721")</f>
        <v xml:space="preserve">   860721</v>
      </c>
      <c r="B5220" t="str">
        <f>T("   Freins à air comprimé, de véhicules pour voies ferrées ou simil., leurs parties, n.d.a.")</f>
        <v xml:space="preserve">   Freins à air comprimé, de véhicules pour voies ferrées ou simil., leurs parties, n.d.a.</v>
      </c>
      <c r="C5220">
        <v>2134494</v>
      </c>
      <c r="D5220">
        <v>30</v>
      </c>
    </row>
    <row r="5221" spans="1:4" x14ac:dyDescent="0.25">
      <c r="A5221" t="str">
        <f>T("   860900")</f>
        <v xml:space="preserve">   860900</v>
      </c>
      <c r="B5221"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5221">
        <v>29885866</v>
      </c>
      <c r="D5221">
        <v>23419</v>
      </c>
    </row>
    <row r="5222" spans="1:4" x14ac:dyDescent="0.25">
      <c r="A5222" t="str">
        <f>T("   870110")</f>
        <v xml:space="preserve">   870110</v>
      </c>
      <c r="B5222"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5222">
        <v>2210662</v>
      </c>
      <c r="D5222">
        <v>7085</v>
      </c>
    </row>
    <row r="5223" spans="1:4" x14ac:dyDescent="0.25">
      <c r="A5223" t="str">
        <f>T("   870120")</f>
        <v xml:space="preserve">   870120</v>
      </c>
      <c r="B5223" t="str">
        <f>T("   Tracteurs routiers pour semi-remorques")</f>
        <v xml:space="preserve">   Tracteurs routiers pour semi-remorques</v>
      </c>
      <c r="C5223">
        <v>1061554156</v>
      </c>
      <c r="D5223">
        <v>3585177</v>
      </c>
    </row>
    <row r="5224" spans="1:4" x14ac:dyDescent="0.25">
      <c r="A5224" t="str">
        <f>T("   870190")</f>
        <v xml:space="preserve">   870190</v>
      </c>
      <c r="B5224"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5224">
        <v>26691917</v>
      </c>
      <c r="D5224">
        <v>112033</v>
      </c>
    </row>
    <row r="5225" spans="1:4" x14ac:dyDescent="0.25">
      <c r="A5225" t="str">
        <f>T("   870210")</f>
        <v xml:space="preserve">   870210</v>
      </c>
      <c r="B5225" t="s">
        <v>469</v>
      </c>
      <c r="C5225">
        <v>182285597</v>
      </c>
      <c r="D5225">
        <v>123670</v>
      </c>
    </row>
    <row r="5226" spans="1:4" x14ac:dyDescent="0.25">
      <c r="A5226" t="str">
        <f>T("   870290")</f>
        <v xml:space="preserve">   870290</v>
      </c>
      <c r="B5226" t="s">
        <v>470</v>
      </c>
      <c r="C5226">
        <v>154569361</v>
      </c>
      <c r="D5226">
        <v>197422</v>
      </c>
    </row>
    <row r="5227" spans="1:4" x14ac:dyDescent="0.25">
      <c r="A5227" t="str">
        <f>T("   870322")</f>
        <v xml:space="preserve">   870322</v>
      </c>
      <c r="B5227" t="s">
        <v>472</v>
      </c>
      <c r="C5227">
        <v>1717408463</v>
      </c>
      <c r="D5227">
        <v>1074495</v>
      </c>
    </row>
    <row r="5228" spans="1:4" x14ac:dyDescent="0.25">
      <c r="A5228" t="str">
        <f>T("   870323")</f>
        <v xml:space="preserve">   870323</v>
      </c>
      <c r="B5228" t="s">
        <v>473</v>
      </c>
      <c r="C5228">
        <v>1182371181</v>
      </c>
      <c r="D5228">
        <v>212579</v>
      </c>
    </row>
    <row r="5229" spans="1:4" x14ac:dyDescent="0.25">
      <c r="A5229" t="str">
        <f>T("   870324")</f>
        <v xml:space="preserve">   870324</v>
      </c>
      <c r="B5229" t="s">
        <v>474</v>
      </c>
      <c r="C5229">
        <v>110300359</v>
      </c>
      <c r="D5229">
        <v>8629</v>
      </c>
    </row>
    <row r="5230" spans="1:4" x14ac:dyDescent="0.25">
      <c r="A5230" t="str">
        <f>T("   870331")</f>
        <v xml:space="preserve">   870331</v>
      </c>
      <c r="B5230" t="s">
        <v>475</v>
      </c>
      <c r="C5230">
        <v>2241642</v>
      </c>
      <c r="D5230">
        <v>950</v>
      </c>
    </row>
    <row r="5231" spans="1:4" x14ac:dyDescent="0.25">
      <c r="A5231" t="str">
        <f>T("   870332")</f>
        <v xml:space="preserve">   870332</v>
      </c>
      <c r="B5231" t="s">
        <v>476</v>
      </c>
      <c r="C5231">
        <v>90535309</v>
      </c>
      <c r="D5231">
        <v>15689</v>
      </c>
    </row>
    <row r="5232" spans="1:4" x14ac:dyDescent="0.25">
      <c r="A5232" t="str">
        <f>T("   870333")</f>
        <v xml:space="preserve">   870333</v>
      </c>
      <c r="B5232" t="s">
        <v>477</v>
      </c>
      <c r="C5232">
        <v>535114777</v>
      </c>
      <c r="D5232">
        <v>65590</v>
      </c>
    </row>
    <row r="5233" spans="1:4" x14ac:dyDescent="0.25">
      <c r="A5233" t="str">
        <f>T("   870390")</f>
        <v xml:space="preserve">   870390</v>
      </c>
      <c r="B5233" t="str">
        <f>T("   Voitures de tourisme et autres véhicules principalement conçus pour le transport de personnes, y.c. les voitures du type 'break' et les voitures de course (sauf véhicules pour se déplacer sur la neige et autres véhicules spéciaux du n° 8703.10)")</f>
        <v xml:space="preserve">   Voitures de tourisme et autres véhicules principalement conçus pour le transport de personnes, y.c. les voitures du type 'break' et les voitures de course (sauf véhicules pour se déplacer sur la neige et autres véhicules spéciaux du n° 8703.10)</v>
      </c>
      <c r="C5233">
        <v>314288148</v>
      </c>
      <c r="D5233">
        <v>29004</v>
      </c>
    </row>
    <row r="5234" spans="1:4" x14ac:dyDescent="0.25">
      <c r="A5234" t="str">
        <f>T("   870410")</f>
        <v xml:space="preserve">   870410</v>
      </c>
      <c r="B5234" t="str">
        <f>T("   Tombereaux automoteurs utilisés en dehors du réseau routier")</f>
        <v xml:space="preserve">   Tombereaux automoteurs utilisés en dehors du réseau routier</v>
      </c>
      <c r="C5234">
        <v>16254689</v>
      </c>
      <c r="D5234">
        <v>21500</v>
      </c>
    </row>
    <row r="5235" spans="1:4" x14ac:dyDescent="0.25">
      <c r="A5235" t="str">
        <f>T("   870421")</f>
        <v xml:space="preserve">   870421</v>
      </c>
      <c r="B5235" t="s">
        <v>478</v>
      </c>
      <c r="C5235">
        <v>1742276597</v>
      </c>
      <c r="D5235">
        <v>941197</v>
      </c>
    </row>
    <row r="5236" spans="1:4" x14ac:dyDescent="0.25">
      <c r="A5236" t="str">
        <f>T("   870422")</f>
        <v xml:space="preserve">   870422</v>
      </c>
      <c r="B5236" t="s">
        <v>479</v>
      </c>
      <c r="C5236">
        <v>641337708</v>
      </c>
      <c r="D5236">
        <v>2146880</v>
      </c>
    </row>
    <row r="5237" spans="1:4" x14ac:dyDescent="0.25">
      <c r="A5237" t="str">
        <f>T("   870423")</f>
        <v xml:space="preserve">   870423</v>
      </c>
      <c r="B5237" t="s">
        <v>480</v>
      </c>
      <c r="C5237">
        <v>7945700</v>
      </c>
      <c r="D5237">
        <v>31960</v>
      </c>
    </row>
    <row r="5238" spans="1:4" x14ac:dyDescent="0.25">
      <c r="A5238" t="str">
        <f>T("   870431")</f>
        <v xml:space="preserve">   870431</v>
      </c>
      <c r="B5238" t="s">
        <v>481</v>
      </c>
      <c r="C5238">
        <v>94729723</v>
      </c>
      <c r="D5238">
        <v>125003</v>
      </c>
    </row>
    <row r="5239" spans="1:4" x14ac:dyDescent="0.25">
      <c r="A5239" t="str">
        <f>T("   870432")</f>
        <v xml:space="preserve">   870432</v>
      </c>
      <c r="B5239" t="s">
        <v>482</v>
      </c>
      <c r="C5239">
        <v>2619927</v>
      </c>
      <c r="D5239">
        <v>6000</v>
      </c>
    </row>
    <row r="5240" spans="1:4" x14ac:dyDescent="0.25">
      <c r="A5240" t="str">
        <f>T("   870490")</f>
        <v xml:space="preserve">   870490</v>
      </c>
      <c r="B5240"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5240">
        <v>6908108</v>
      </c>
      <c r="D5240">
        <v>15340</v>
      </c>
    </row>
    <row r="5241" spans="1:4" x14ac:dyDescent="0.25">
      <c r="A5241" t="str">
        <f>T("   870510")</f>
        <v xml:space="preserve">   870510</v>
      </c>
      <c r="B5241" t="str">
        <f>T("   Camions-grues (sauf dépanneuses)")</f>
        <v xml:space="preserve">   Camions-grues (sauf dépanneuses)</v>
      </c>
      <c r="C5241">
        <v>79487827</v>
      </c>
      <c r="D5241">
        <v>72830</v>
      </c>
    </row>
    <row r="5242" spans="1:4" x14ac:dyDescent="0.25">
      <c r="A5242" t="str">
        <f>T("   870530")</f>
        <v xml:space="preserve">   870530</v>
      </c>
      <c r="B5242" t="str">
        <f>T("   Voitures de lutte contre l'incendie (sauf véhicules affectés principalement au transport des sapeurs-pompiers)")</f>
        <v xml:space="preserve">   Voitures de lutte contre l'incendie (sauf véhicules affectés principalement au transport des sapeurs-pompiers)</v>
      </c>
      <c r="C5242">
        <v>1205956</v>
      </c>
      <c r="D5242">
        <v>52530</v>
      </c>
    </row>
    <row r="5243" spans="1:4" x14ac:dyDescent="0.25">
      <c r="A5243" t="str">
        <f>T("   870590")</f>
        <v xml:space="preserve">   870590</v>
      </c>
      <c r="B5243" t="s">
        <v>483</v>
      </c>
      <c r="C5243">
        <v>69921593</v>
      </c>
      <c r="D5243">
        <v>36270</v>
      </c>
    </row>
    <row r="5244" spans="1:4" x14ac:dyDescent="0.25">
      <c r="A5244" t="str">
        <f>T("   870600")</f>
        <v xml:space="preserve">   870600</v>
      </c>
      <c r="B5244" t="s">
        <v>484</v>
      </c>
      <c r="C5244">
        <v>4131236</v>
      </c>
      <c r="D5244">
        <v>3098</v>
      </c>
    </row>
    <row r="5245" spans="1:4" x14ac:dyDescent="0.25">
      <c r="A5245" t="str">
        <f>T("   870810")</f>
        <v xml:space="preserve">   870810</v>
      </c>
      <c r="B5245"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5245">
        <v>3115058</v>
      </c>
      <c r="D5245">
        <v>1341</v>
      </c>
    </row>
    <row r="5246" spans="1:4" x14ac:dyDescent="0.25">
      <c r="A5246" t="str">
        <f>T("   870829")</f>
        <v xml:space="preserve">   870829</v>
      </c>
      <c r="B5246" t="s">
        <v>485</v>
      </c>
      <c r="C5246">
        <v>3785163</v>
      </c>
      <c r="D5246">
        <v>473</v>
      </c>
    </row>
    <row r="5247" spans="1:4" x14ac:dyDescent="0.25">
      <c r="A5247" t="str">
        <f>T("   870831")</f>
        <v xml:space="preserve">   870831</v>
      </c>
      <c r="B5247" t="str">
        <f>T("   GARNITURES DE FREINS MONTÉES, POUR TRACTEURS, VÉHICULES POUR LE TRANSPORT DE &gt;= 10 PERSONNES, CHAUFFEUR INCLUS, VOITURES DE TOURISME, VÉHICULES POUR LE TRANSPORT DE MARCHANDISES ET VÉHICULES À USAGES SPÉCIAUX")</f>
        <v xml:space="preserve">   GARNITURES DE FREINS MONTÉES, POUR TRACTEURS, VÉHICULES POUR LE TRANSPORT DE &gt;= 10 PERSONNES, CHAUFFEUR INCLUS, VOITURES DE TOURISME, VÉHICULES POUR LE TRANSPORT DE MARCHANDISES ET VÉHICULES À USAGES SPÉCIAUX</v>
      </c>
      <c r="C5247">
        <v>2736666</v>
      </c>
      <c r="D5247">
        <v>214</v>
      </c>
    </row>
    <row r="5248" spans="1:4" x14ac:dyDescent="0.25">
      <c r="A5248" t="str">
        <f>T("   870839")</f>
        <v xml:space="preserve">   870839</v>
      </c>
      <c r="B5248"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5248">
        <v>8279017</v>
      </c>
      <c r="D5248">
        <v>885</v>
      </c>
    </row>
    <row r="5249" spans="1:4" x14ac:dyDescent="0.25">
      <c r="A5249" t="str">
        <f>T("   870840")</f>
        <v xml:space="preserve">   870840</v>
      </c>
      <c r="B5249"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5249">
        <v>3739232</v>
      </c>
      <c r="D5249">
        <v>1940</v>
      </c>
    </row>
    <row r="5250" spans="1:4" x14ac:dyDescent="0.25">
      <c r="A5250" t="str">
        <f>T("   870850")</f>
        <v xml:space="preserve">   870850</v>
      </c>
      <c r="B5250" t="s">
        <v>486</v>
      </c>
      <c r="C5250">
        <v>554286</v>
      </c>
      <c r="D5250">
        <v>27</v>
      </c>
    </row>
    <row r="5251" spans="1:4" x14ac:dyDescent="0.25">
      <c r="A5251" t="str">
        <f>T("   870860")</f>
        <v xml:space="preserve">   870860</v>
      </c>
      <c r="B5251" t="str">
        <f>T("   ESSIEUX PORTEURS ET LEURS PARTIES, POUR TRACTEURS, VÉHICULES POUR LE TRANSPORT DE &gt;= 10 PERSONNES, CHAUFFEUR INCLUS, VOITURES DE TOURISME, VÉHICULES POUR LE TRANSPORT DE MARCHANDISES ET VÉHICULES À USAGES SPÉCIAUX N.D.A.")</f>
        <v xml:space="preserve">   ESSIEUX PORTEURS ET LEURS PARTIES, POUR TRACTEURS, VÉHICULES POUR LE TRANSPORT DE &gt;= 10 PERSONNES, CHAUFFEUR INCLUS, VOITURES DE TOURISME, VÉHICULES POUR LE TRANSPORT DE MARCHANDISES ET VÉHICULES À USAGES SPÉCIAUX N.D.A.</v>
      </c>
      <c r="C5251">
        <v>175000</v>
      </c>
      <c r="D5251">
        <v>300</v>
      </c>
    </row>
    <row r="5252" spans="1:4" x14ac:dyDescent="0.25">
      <c r="A5252" t="str">
        <f>T("   870870")</f>
        <v xml:space="preserve">   870870</v>
      </c>
      <c r="B5252"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5252">
        <v>7108858</v>
      </c>
      <c r="D5252">
        <v>1143</v>
      </c>
    </row>
    <row r="5253" spans="1:4" x14ac:dyDescent="0.25">
      <c r="A5253" t="str">
        <f>T("   870880")</f>
        <v xml:space="preserve">   870880</v>
      </c>
      <c r="B5253" t="s">
        <v>487</v>
      </c>
      <c r="C5253">
        <v>4312025</v>
      </c>
      <c r="D5253">
        <v>4959.6000000000004</v>
      </c>
    </row>
    <row r="5254" spans="1:4" x14ac:dyDescent="0.25">
      <c r="A5254" t="str">
        <f>T("   870891")</f>
        <v xml:space="preserve">   870891</v>
      </c>
      <c r="B5254"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5254">
        <v>3231259</v>
      </c>
      <c r="D5254">
        <v>396</v>
      </c>
    </row>
    <row r="5255" spans="1:4" x14ac:dyDescent="0.25">
      <c r="A5255" t="str">
        <f>T("   870892")</f>
        <v xml:space="preserve">   870892</v>
      </c>
      <c r="B5255" t="str">
        <f>T("   SILENCIEUX ET TUYAUX D'ÉCHAPPEMENT AINSI QUE LEURS PARTIES, POUR TRACTEURS, VÉHICULES POUR LE TRANSPORT DE &gt;= 10 PERSONNES, CHAUFFEUR INCLUS, VOITURES DE TOURISME, VÉHICULES POUR LE TRANSPORT DE MARCHANDISES ET VÉHICULES À USAGES SPÉCIAUX, N.D.A.")</f>
        <v xml:space="preserve">   SILENCIEUX ET TUYAUX D'ÉCHAPPEMENT AINSI QUE LEURS PARTIES, POUR TRACTEURS, VÉHICULES POUR LE TRANSPORT DE &gt;= 10 PERSONNES, CHAUFFEUR INCLUS, VOITURES DE TOURISME, VÉHICULES POUR LE TRANSPORT DE MARCHANDISES ET VÉHICULES À USAGES SPÉCIAUX, N.D.A.</v>
      </c>
      <c r="C5255">
        <v>838972</v>
      </c>
      <c r="D5255">
        <v>21</v>
      </c>
    </row>
    <row r="5256" spans="1:4" x14ac:dyDescent="0.25">
      <c r="A5256" t="str">
        <f>T("   870893")</f>
        <v xml:space="preserve">   870893</v>
      </c>
      <c r="B5256" t="str">
        <f>T("   EMBRAYAGES ET LEURS PARTIES, POUR TRACTEURS, VÉHICULES POUR LE TRANSPORT DE &gt;= 10 PERSONNES, CHAUFFEUR INCLUS, VOITURES DE TOURISME, VÉHICULES POUR LE TRANSPORT DE MARCHANDISES ET VÉHICULES À USAGES SPÉCIAUX, N.D.A.")</f>
        <v xml:space="preserve">   EMBRAYAGES ET LEURS PARTIES, POUR TRACTEURS, VÉHICULES POUR LE TRANSPORT DE &gt;= 10 PERSONNES, CHAUFFEUR INCLUS, VOITURES DE TOURISME, VÉHICULES POUR LE TRANSPORT DE MARCHANDISES ET VÉHICULES À USAGES SPÉCIAUX, N.D.A.</v>
      </c>
      <c r="C5256">
        <v>9812407</v>
      </c>
      <c r="D5256">
        <v>956</v>
      </c>
    </row>
    <row r="5257" spans="1:4" x14ac:dyDescent="0.25">
      <c r="A5257" t="str">
        <f>T("   870899")</f>
        <v xml:space="preserve">   870899</v>
      </c>
      <c r="B5257"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5257">
        <v>578436028</v>
      </c>
      <c r="D5257">
        <v>119997.96</v>
      </c>
    </row>
    <row r="5258" spans="1:4" x14ac:dyDescent="0.25">
      <c r="A5258" t="str">
        <f>T("   870919")</f>
        <v xml:space="preserve">   870919</v>
      </c>
      <c r="B5258"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5258">
        <v>3154872</v>
      </c>
      <c r="D5258">
        <v>4607</v>
      </c>
    </row>
    <row r="5259" spans="1:4" x14ac:dyDescent="0.25">
      <c r="A5259" t="str">
        <f>T("   870990")</f>
        <v xml:space="preserve">   870990</v>
      </c>
      <c r="B5259" t="str">
        <f>T("   Parties de chariots automobiles non munis d'un dispositif de levage, des types utilisés pour le transport des marchandises sur de courtes distances, y.c. les chariots-tracteurs des types utilisés dans les gares, n.d.a.")</f>
        <v xml:space="preserve">   Parties de chariots automobiles non munis d'un dispositif de levage, des types utilisés pour le transport des marchandises sur de courtes distances, y.c. les chariots-tracteurs des types utilisés dans les gares, n.d.a.</v>
      </c>
      <c r="C5259">
        <v>6322905</v>
      </c>
      <c r="D5259">
        <v>789</v>
      </c>
    </row>
    <row r="5260" spans="1:4" x14ac:dyDescent="0.25">
      <c r="A5260" t="str">
        <f>T("   871110")</f>
        <v xml:space="preserve">   871110</v>
      </c>
      <c r="B5260" t="str">
        <f>T("   Cyclomoteurs, à moteur à piston alternatif, cylindrée &lt;= 50 cm³, y.c. cycles à moteur auxiliaire")</f>
        <v xml:space="preserve">   Cyclomoteurs, à moteur à piston alternatif, cylindrée &lt;= 50 cm³, y.c. cycles à moteur auxiliaire</v>
      </c>
      <c r="C5260">
        <v>28668</v>
      </c>
      <c r="D5260">
        <v>35</v>
      </c>
    </row>
    <row r="5261" spans="1:4" x14ac:dyDescent="0.25">
      <c r="A5261" t="str">
        <f>T("   871120")</f>
        <v xml:space="preserve">   871120</v>
      </c>
      <c r="B5261" t="str">
        <f>T("   Motocycles à moteur à piston alternatif, cylindrée &gt; 50 cm³ mais &lt;= 250 cm³")</f>
        <v xml:space="preserve">   Motocycles à moteur à piston alternatif, cylindrée &gt; 50 cm³ mais &lt;= 250 cm³</v>
      </c>
      <c r="C5261">
        <v>312237517</v>
      </c>
      <c r="D5261">
        <v>138773</v>
      </c>
    </row>
    <row r="5262" spans="1:4" x14ac:dyDescent="0.25">
      <c r="A5262" t="str">
        <f>T("   871130")</f>
        <v xml:space="preserve">   871130</v>
      </c>
      <c r="B5262" t="str">
        <f>T("   Motocycles à moteur à piston alternatif, cylindrée &gt; 250 cm³ mais &lt;= 500 cm³")</f>
        <v xml:space="preserve">   Motocycles à moteur à piston alternatif, cylindrée &gt; 250 cm³ mais &lt;= 500 cm³</v>
      </c>
      <c r="C5262">
        <v>35909661</v>
      </c>
      <c r="D5262">
        <v>6318</v>
      </c>
    </row>
    <row r="5263" spans="1:4" x14ac:dyDescent="0.25">
      <c r="A5263" t="str">
        <f>T("   871140")</f>
        <v xml:space="preserve">   871140</v>
      </c>
      <c r="B5263" t="str">
        <f>T("   Motocycles à moteur à piston alternatif, cylindrée &gt; 500 cm³ mais &lt;= 800 cm³")</f>
        <v xml:space="preserve">   Motocycles à moteur à piston alternatif, cylindrée &gt; 500 cm³ mais &lt;= 800 cm³</v>
      </c>
      <c r="C5263">
        <v>1491144</v>
      </c>
      <c r="D5263">
        <v>613</v>
      </c>
    </row>
    <row r="5264" spans="1:4" x14ac:dyDescent="0.25">
      <c r="A5264" t="str">
        <f>T("   871150")</f>
        <v xml:space="preserve">   871150</v>
      </c>
      <c r="B5264" t="str">
        <f>T("   Motocycles à moteur à piston alternatif, cylindrée &gt; 800 cm³")</f>
        <v xml:space="preserve">   Motocycles à moteur à piston alternatif, cylindrée &gt; 800 cm³</v>
      </c>
      <c r="C5264">
        <v>200001</v>
      </c>
      <c r="D5264">
        <v>100</v>
      </c>
    </row>
    <row r="5265" spans="1:4" x14ac:dyDescent="0.25">
      <c r="A5265" t="str">
        <f>T("   871190")</f>
        <v xml:space="preserve">   871190</v>
      </c>
      <c r="B5265" t="str">
        <f>T("   Side-cars")</f>
        <v xml:space="preserve">   Side-cars</v>
      </c>
      <c r="C5265">
        <v>13344915</v>
      </c>
      <c r="D5265">
        <v>65015</v>
      </c>
    </row>
    <row r="5266" spans="1:4" x14ac:dyDescent="0.25">
      <c r="A5266" t="str">
        <f>T("   871200")</f>
        <v xml:space="preserve">   871200</v>
      </c>
      <c r="B5266" t="str">
        <f>T("   BICYCLETTES ET AUTRES CYCLES, -Y.C. LES TRIPORTEURS-, SANS MOTEUR")</f>
        <v xml:space="preserve">   BICYCLETTES ET AUTRES CYCLES, -Y.C. LES TRIPORTEURS-, SANS MOTEUR</v>
      </c>
      <c r="C5266">
        <v>7269149</v>
      </c>
      <c r="D5266">
        <v>9215</v>
      </c>
    </row>
    <row r="5267" spans="1:4" x14ac:dyDescent="0.25">
      <c r="A5267" t="str">
        <f>T("   871310")</f>
        <v xml:space="preserve">   871310</v>
      </c>
      <c r="B5267" t="str">
        <f>T("   Fauteuils roulants et autres véhicules pour invalides (sans mécanisme de propulsion)")</f>
        <v xml:space="preserve">   Fauteuils roulants et autres véhicules pour invalides (sans mécanisme de propulsion)</v>
      </c>
      <c r="C5267">
        <v>1155274</v>
      </c>
      <c r="D5267">
        <v>1978</v>
      </c>
    </row>
    <row r="5268" spans="1:4" x14ac:dyDescent="0.25">
      <c r="A5268" t="str">
        <f>T("   871390")</f>
        <v xml:space="preserve">   871390</v>
      </c>
      <c r="B5268" t="str">
        <f>T("   Fauteuils roulants et autres véhicules pour invalides, avec mécanisme de propulsion (sauf automobiles et bicyclettes munies de dispositifs spéciaux)")</f>
        <v xml:space="preserve">   Fauteuils roulants et autres véhicules pour invalides, avec mécanisme de propulsion (sauf automobiles et bicyclettes munies de dispositifs spéciaux)</v>
      </c>
      <c r="C5268">
        <v>327980</v>
      </c>
      <c r="D5268">
        <v>1500</v>
      </c>
    </row>
    <row r="5269" spans="1:4" x14ac:dyDescent="0.25">
      <c r="A5269" t="str">
        <f>T("   871411")</f>
        <v xml:space="preserve">   871411</v>
      </c>
      <c r="B5269" t="str">
        <f>T("   Selles de motocycles, y.c. de cyclomoteurs")</f>
        <v xml:space="preserve">   Selles de motocycles, y.c. de cyclomoteurs</v>
      </c>
      <c r="C5269">
        <v>9015000</v>
      </c>
      <c r="D5269">
        <v>8650</v>
      </c>
    </row>
    <row r="5270" spans="1:4" x14ac:dyDescent="0.25">
      <c r="A5270" t="str">
        <f>T("   871419")</f>
        <v xml:space="preserve">   871419</v>
      </c>
      <c r="B5270" t="str">
        <f>T("   Parties et accessoires de motocycles, y.c. de cyclomoteurs, n.d.a.")</f>
        <v xml:space="preserve">   Parties et accessoires de motocycles, y.c. de cyclomoteurs, n.d.a.</v>
      </c>
      <c r="C5270">
        <v>2135806</v>
      </c>
      <c r="D5270">
        <v>274</v>
      </c>
    </row>
    <row r="5271" spans="1:4" x14ac:dyDescent="0.25">
      <c r="A5271" t="str">
        <f>T("   871492")</f>
        <v xml:space="preserve">   871492</v>
      </c>
      <c r="B5271" t="str">
        <f>T("   Jantes et rayons, de bicyclettes")</f>
        <v xml:space="preserve">   Jantes et rayons, de bicyclettes</v>
      </c>
      <c r="C5271">
        <v>65596</v>
      </c>
      <c r="D5271">
        <v>115</v>
      </c>
    </row>
    <row r="5272" spans="1:4" x14ac:dyDescent="0.25">
      <c r="A5272" t="str">
        <f>T("   871499")</f>
        <v xml:space="preserve">   871499</v>
      </c>
      <c r="B5272" t="str">
        <f>T("   Parties et accessoires, de bicyclettes, n.d.a.")</f>
        <v xml:space="preserve">   Parties et accessoires, de bicyclettes, n.d.a.</v>
      </c>
      <c r="C5272">
        <v>11215708</v>
      </c>
      <c r="D5272">
        <v>7503</v>
      </c>
    </row>
    <row r="5273" spans="1:4" x14ac:dyDescent="0.25">
      <c r="A5273" t="str">
        <f>T("   871500")</f>
        <v xml:space="preserve">   871500</v>
      </c>
      <c r="B5273" t="str">
        <f>T("   Landaus, poussettes et voitures simil., pour le transport des enfants, et leurs parties, n.d.a.")</f>
        <v xml:space="preserve">   Landaus, poussettes et voitures simil., pour le transport des enfants, et leurs parties, n.d.a.</v>
      </c>
      <c r="C5273">
        <v>268944</v>
      </c>
      <c r="D5273">
        <v>355</v>
      </c>
    </row>
    <row r="5274" spans="1:4" x14ac:dyDescent="0.25">
      <c r="A5274" t="str">
        <f>T("   871620")</f>
        <v xml:space="preserve">   871620</v>
      </c>
      <c r="B5274" t="str">
        <f>T("   Remorques et semi-remorques autochargeuses ou autodéchargeuses, pour usages agricoles")</f>
        <v xml:space="preserve">   Remorques et semi-remorques autochargeuses ou autodéchargeuses, pour usages agricoles</v>
      </c>
      <c r="C5274">
        <v>37881663</v>
      </c>
      <c r="D5274">
        <v>197305</v>
      </c>
    </row>
    <row r="5275" spans="1:4" x14ac:dyDescent="0.25">
      <c r="A5275" t="str">
        <f>T("   871631")</f>
        <v xml:space="preserve">   871631</v>
      </c>
      <c r="B5275" t="str">
        <f>T("   Remorques-citernes ne circulant pas sur rails")</f>
        <v xml:space="preserve">   Remorques-citernes ne circulant pas sur rails</v>
      </c>
      <c r="C5275">
        <v>11122400</v>
      </c>
      <c r="D5275">
        <v>42755</v>
      </c>
    </row>
    <row r="5276" spans="1:4" x14ac:dyDescent="0.25">
      <c r="A5276" t="str">
        <f>T("   871639")</f>
        <v xml:space="preserve">   871639</v>
      </c>
      <c r="B5276"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5276">
        <v>10105487</v>
      </c>
      <c r="D5276">
        <v>43930</v>
      </c>
    </row>
    <row r="5277" spans="1:4" x14ac:dyDescent="0.25">
      <c r="A5277" t="str">
        <f>T("   871640")</f>
        <v xml:space="preserve">   871640</v>
      </c>
      <c r="B5277"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5277">
        <v>569729801</v>
      </c>
      <c r="D5277">
        <v>1834129</v>
      </c>
    </row>
    <row r="5278" spans="1:4" x14ac:dyDescent="0.25">
      <c r="A5278" t="str">
        <f>T("   871680")</f>
        <v xml:space="preserve">   871680</v>
      </c>
      <c r="B5278" t="str">
        <f>T("   Véhicules dirigés à la main et autres véhicules non automobiles, autres que remorques et semi-remorques")</f>
        <v xml:space="preserve">   Véhicules dirigés à la main et autres véhicules non automobiles, autres que remorques et semi-remorques</v>
      </c>
      <c r="C5278">
        <v>3228688</v>
      </c>
      <c r="D5278">
        <v>20447</v>
      </c>
    </row>
    <row r="5279" spans="1:4" x14ac:dyDescent="0.25">
      <c r="A5279" t="str">
        <f>T("   880190")</f>
        <v xml:space="preserve">   880190</v>
      </c>
      <c r="B5279" t="str">
        <f>T("   Ballons et dirigeables et autres véhicules aériens (non conçus pour la propulsion à moteur) (sauf planeurs et ailes volantes, cerf-volants pour enfants et ballonnets pour enfants)")</f>
        <v xml:space="preserve">   Ballons et dirigeables et autres véhicules aériens (non conçus pour la propulsion à moteur) (sauf planeurs et ailes volantes, cerf-volants pour enfants et ballonnets pour enfants)</v>
      </c>
      <c r="C5279">
        <v>4727305</v>
      </c>
      <c r="D5279">
        <v>145</v>
      </c>
    </row>
    <row r="5280" spans="1:4" x14ac:dyDescent="0.25">
      <c r="A5280" t="str">
        <f>T("   880390")</f>
        <v xml:space="preserve">   880390</v>
      </c>
      <c r="B5280" t="str">
        <f>T("   Parties des véhicules aériens et spatiaux, n.d.a.")</f>
        <v xml:space="preserve">   Parties des véhicules aériens et spatiaux, n.d.a.</v>
      </c>
      <c r="C5280">
        <v>1014114</v>
      </c>
      <c r="D5280">
        <v>760</v>
      </c>
    </row>
    <row r="5281" spans="1:4" x14ac:dyDescent="0.25">
      <c r="A5281" t="str">
        <f>T("   890399")</f>
        <v xml:space="preserve">   890399</v>
      </c>
      <c r="B5281"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5281">
        <v>4364448</v>
      </c>
      <c r="D5281">
        <v>2168</v>
      </c>
    </row>
    <row r="5282" spans="1:4" x14ac:dyDescent="0.25">
      <c r="A5282" t="str">
        <f>T("   890790")</f>
        <v xml:space="preserve">   890790</v>
      </c>
      <c r="B5282" t="str">
        <f>T("   Engins flottants, p.ex. réservoirs, caissons, coffres d'amarrage, bouées et balises (sauf radeaux gonflables, bateaux du n° 8901 à 8906 et engins flottants à dépecer)")</f>
        <v xml:space="preserve">   Engins flottants, p.ex. réservoirs, caissons, coffres d'amarrage, bouées et balises (sauf radeaux gonflables, bateaux du n° 8901 à 8906 et engins flottants à dépecer)</v>
      </c>
      <c r="C5282">
        <v>852748</v>
      </c>
      <c r="D5282">
        <v>2000</v>
      </c>
    </row>
    <row r="5283" spans="1:4" x14ac:dyDescent="0.25">
      <c r="A5283" t="str">
        <f>T("   900110")</f>
        <v xml:space="preserve">   900110</v>
      </c>
      <c r="B5283" t="str">
        <f>T("   Fibres optiques, faisceaux et câbles de fibres optiques (autres que les câbles constitués de fibres gainées individuellement du n° 8544)")</f>
        <v xml:space="preserve">   Fibres optiques, faisceaux et câbles de fibres optiques (autres que les câbles constitués de fibres gainées individuellement du n° 8544)</v>
      </c>
      <c r="C5283">
        <v>106266</v>
      </c>
      <c r="D5283">
        <v>6</v>
      </c>
    </row>
    <row r="5284" spans="1:4" x14ac:dyDescent="0.25">
      <c r="A5284" t="str">
        <f>T("   900150")</f>
        <v xml:space="preserve">   900150</v>
      </c>
      <c r="B5284" t="str">
        <f>T("   Verres de lunetterie en matières autres que le verre")</f>
        <v xml:space="preserve">   Verres de lunetterie en matières autres que le verre</v>
      </c>
      <c r="C5284">
        <v>350283</v>
      </c>
      <c r="D5284">
        <v>0.4</v>
      </c>
    </row>
    <row r="5285" spans="1:4" x14ac:dyDescent="0.25">
      <c r="A5285" t="str">
        <f>T("   900190")</f>
        <v xml:space="preserve">   900190</v>
      </c>
      <c r="B5285" t="str">
        <f>T("   Lentilles, prismes, miroirs et autres éléments d'optique, en toutes matières, non montés (autres que ceux en verre non travaillé optiquement ainsi que les verres de contact et les verres de lunetterie)")</f>
        <v xml:space="preserve">   Lentilles, prismes, miroirs et autres éléments d'optique, en toutes matières, non montés (autres que ceux en verre non travaillé optiquement ainsi que les verres de contact et les verres de lunetterie)</v>
      </c>
      <c r="C5285">
        <v>188378</v>
      </c>
      <c r="D5285">
        <v>44</v>
      </c>
    </row>
    <row r="5286" spans="1:4" x14ac:dyDescent="0.25">
      <c r="A5286" t="str">
        <f>T("   900220")</f>
        <v xml:space="preserve">   900220</v>
      </c>
      <c r="B5286" t="str">
        <f>T("   FILTRES, OPTIQUES, POUR INSTRUMENTS OU APPAREILS, MONTÉS [01/01/1988-31/12/1994: FILTRES OPTIQUES, MONTES, POUR INSTRUMENTS OU APPAREILS]")</f>
        <v xml:space="preserve">   FILTRES, OPTIQUES, POUR INSTRUMENTS OU APPAREILS, MONTÉS [01/01/1988-31/12/1994: FILTRES OPTIQUES, MONTES, POUR INSTRUMENTS OU APPAREILS]</v>
      </c>
      <c r="C5286">
        <v>267510</v>
      </c>
      <c r="D5286">
        <v>1.6</v>
      </c>
    </row>
    <row r="5287" spans="1:4" x14ac:dyDescent="0.25">
      <c r="A5287" t="str">
        <f>T("   900410")</f>
        <v xml:space="preserve">   900410</v>
      </c>
      <c r="B5287" t="str">
        <f>T("   Lunettes solaires")</f>
        <v xml:space="preserve">   Lunettes solaires</v>
      </c>
      <c r="C5287">
        <v>923590</v>
      </c>
      <c r="D5287">
        <v>24</v>
      </c>
    </row>
    <row r="5288" spans="1:4" x14ac:dyDescent="0.25">
      <c r="A5288" t="str">
        <f>T("   900490")</f>
        <v xml:space="preserve">   900490</v>
      </c>
      <c r="B5288"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5288">
        <v>4211689</v>
      </c>
      <c r="D5288">
        <v>2141.1999999999998</v>
      </c>
    </row>
    <row r="5289" spans="1:4" x14ac:dyDescent="0.25">
      <c r="A5289" t="str">
        <f>T("   900659")</f>
        <v xml:space="preserve">   900659</v>
      </c>
      <c r="B5289" t="s">
        <v>490</v>
      </c>
      <c r="C5289">
        <v>366269</v>
      </c>
      <c r="D5289">
        <v>696</v>
      </c>
    </row>
    <row r="5290" spans="1:4" x14ac:dyDescent="0.25">
      <c r="A5290" t="str">
        <f>T("   900661")</f>
        <v xml:space="preserve">   900661</v>
      </c>
      <c r="B5290" t="str">
        <f>T("   Appareils à tube à décharge pour la production de la lumière-éclair, dits 'flashes électroniques'")</f>
        <v xml:space="preserve">   Appareils à tube à décharge pour la production de la lumière-éclair, dits 'flashes électroniques'</v>
      </c>
      <c r="C5290">
        <v>2951820</v>
      </c>
      <c r="D5290">
        <v>700</v>
      </c>
    </row>
    <row r="5291" spans="1:4" x14ac:dyDescent="0.25">
      <c r="A5291" t="str">
        <f>T("   900792")</f>
        <v xml:space="preserve">   900792</v>
      </c>
      <c r="B5291" t="str">
        <f>T("   Parties et accessoires de projecteurs cinématographiques, n.d.a.")</f>
        <v xml:space="preserve">   Parties et accessoires de projecteurs cinématographiques, n.d.a.</v>
      </c>
      <c r="C5291">
        <v>160000</v>
      </c>
      <c r="D5291">
        <v>8</v>
      </c>
    </row>
    <row r="5292" spans="1:4" x14ac:dyDescent="0.25">
      <c r="A5292" t="str">
        <f>T("   900911")</f>
        <v xml:space="preserve">   900911</v>
      </c>
      <c r="B5292"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5292">
        <v>52624851</v>
      </c>
      <c r="D5292">
        <v>14262.16</v>
      </c>
    </row>
    <row r="5293" spans="1:4" x14ac:dyDescent="0.25">
      <c r="A5293" t="str">
        <f>T("   900912")</f>
        <v xml:space="preserve">   900912</v>
      </c>
      <c r="B5293" t="str">
        <f>T("   Appareils de photocopie électrostatiques, fonctionnant par reproduction de l'image de l'original sur la copie au moyen d'un support intermédiaire [procédé indirect]")</f>
        <v xml:space="preserve">   Appareils de photocopie électrostatiques, fonctionnant par reproduction de l'image de l'original sur la copie au moyen d'un support intermédiaire [procédé indirect]</v>
      </c>
      <c r="C5293">
        <v>3758834</v>
      </c>
      <c r="D5293">
        <v>147</v>
      </c>
    </row>
    <row r="5294" spans="1:4" x14ac:dyDescent="0.25">
      <c r="A5294" t="str">
        <f>T("   900921")</f>
        <v xml:space="preserve">   900921</v>
      </c>
      <c r="B5294" t="str">
        <f>T("   Appareils de photocopie à système optique (autres qu'électrostatiques)")</f>
        <v xml:space="preserve">   Appareils de photocopie à système optique (autres qu'électrostatiques)</v>
      </c>
      <c r="C5294">
        <v>21996893</v>
      </c>
      <c r="D5294">
        <v>1640.62</v>
      </c>
    </row>
    <row r="5295" spans="1:4" x14ac:dyDescent="0.25">
      <c r="A5295" t="str">
        <f>T("   900922")</f>
        <v xml:space="preserve">   900922</v>
      </c>
      <c r="B5295" t="str">
        <f>T("   APPAREILS DE PHOTOCOPIE PAR CONTACT")</f>
        <v xml:space="preserve">   APPAREILS DE PHOTOCOPIE PAR CONTACT</v>
      </c>
      <c r="C5295">
        <v>496287</v>
      </c>
      <c r="D5295">
        <v>1254</v>
      </c>
    </row>
    <row r="5296" spans="1:4" x14ac:dyDescent="0.25">
      <c r="A5296" t="str">
        <f>T("   900992")</f>
        <v xml:space="preserve">   900992</v>
      </c>
      <c r="B5296" t="str">
        <f>T("   Dispositifs d'alimentation en papier d'appareils de photocopie et de thermocopie")</f>
        <v xml:space="preserve">   Dispositifs d'alimentation en papier d'appareils de photocopie et de thermocopie</v>
      </c>
      <c r="C5296">
        <v>424216</v>
      </c>
      <c r="D5296">
        <v>100</v>
      </c>
    </row>
    <row r="5297" spans="1:4" x14ac:dyDescent="0.25">
      <c r="A5297" t="str">
        <f>T("   900999")</f>
        <v xml:space="preserve">   900999</v>
      </c>
      <c r="B5297"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5297">
        <v>7533450</v>
      </c>
      <c r="D5297">
        <v>964</v>
      </c>
    </row>
    <row r="5298" spans="1:4" x14ac:dyDescent="0.25">
      <c r="A5298" t="str">
        <f>T("   901049")</f>
        <v xml:space="preserve">   901049</v>
      </c>
      <c r="B5298" t="str">
        <f>T("   Appareils pour la projection ou la réalisation des tracés de circuits sur les matières semi-conductrices sensibilisées (à l'excl. des appareils pour l'écriture directe sur disque et des photorépéteurs)")</f>
        <v xml:space="preserve">   Appareils pour la projection ou la réalisation des tracés de circuits sur les matières semi-conductrices sensibilisées (à l'excl. des appareils pour l'écriture directe sur disque et des photorépéteurs)</v>
      </c>
      <c r="C5298">
        <v>661056</v>
      </c>
      <c r="D5298">
        <v>160</v>
      </c>
    </row>
    <row r="5299" spans="1:4" x14ac:dyDescent="0.25">
      <c r="A5299" t="str">
        <f>T("   901050")</f>
        <v xml:space="preserve">   901050</v>
      </c>
      <c r="B5299" t="str">
        <f>T("   Appareils et matériel pour laboratoires photographiques ou cinématographiques, n.d.a.; négatoscopes")</f>
        <v xml:space="preserve">   Appareils et matériel pour laboratoires photographiques ou cinématographiques, n.d.a.; négatoscopes</v>
      </c>
      <c r="C5299">
        <v>6290657</v>
      </c>
      <c r="D5299">
        <v>1780</v>
      </c>
    </row>
    <row r="5300" spans="1:4" x14ac:dyDescent="0.25">
      <c r="A5300" t="str">
        <f>T("   901090")</f>
        <v xml:space="preserve">   901090</v>
      </c>
      <c r="B5300" t="str">
        <f>T("   Parties et accessoires des appareils et du matériel pour laboratoires photographiques ou cinématographiques, des négatoscopes et des écrans pour projections")</f>
        <v xml:space="preserve">   Parties et accessoires des appareils et du matériel pour laboratoires photographiques ou cinématographiques, des négatoscopes et des écrans pour projections</v>
      </c>
      <c r="C5300">
        <v>690070</v>
      </c>
      <c r="D5300">
        <v>177</v>
      </c>
    </row>
    <row r="5301" spans="1:4" x14ac:dyDescent="0.25">
      <c r="A5301" t="str">
        <f>T("   901180")</f>
        <v xml:space="preserve">   901180</v>
      </c>
      <c r="B5301" t="s">
        <v>492</v>
      </c>
      <c r="C5301">
        <v>3763416</v>
      </c>
      <c r="D5301">
        <v>47.31</v>
      </c>
    </row>
    <row r="5302" spans="1:4" x14ac:dyDescent="0.25">
      <c r="A5302" t="str">
        <f>T("   901310")</f>
        <v xml:space="preserve">   901310</v>
      </c>
      <c r="B5302" t="str">
        <f>T("   Lunettes de visée pour armes; périscopes; lunettes pour machines, appareils ou instruments du présent chapitre ou des chapitres 84 et 85 de la section XVI")</f>
        <v xml:space="preserve">   Lunettes de visée pour armes; périscopes; lunettes pour machines, appareils ou instruments du présent chapitre ou des chapitres 84 et 85 de la section XVI</v>
      </c>
      <c r="C5302">
        <v>36078</v>
      </c>
      <c r="D5302">
        <v>82</v>
      </c>
    </row>
    <row r="5303" spans="1:4" x14ac:dyDescent="0.25">
      <c r="A5303" t="str">
        <f>T("   901380")</f>
        <v xml:space="preserve">   901380</v>
      </c>
      <c r="B5303" t="str">
        <f>T("   DISPOSITIFS À CRISTAUX LIQUIDES, N.D.A., ET AUTRES APPAREILS ET INSTRUMENTS D'OPTIQUE, N.D.A. DANS LE PRÉSENT CHAPITRE")</f>
        <v xml:space="preserve">   DISPOSITIFS À CRISTAUX LIQUIDES, N.D.A., ET AUTRES APPAREILS ET INSTRUMENTS D'OPTIQUE, N.D.A. DANS LE PRÉSENT CHAPITRE</v>
      </c>
      <c r="C5303">
        <v>384331</v>
      </c>
      <c r="D5303">
        <v>29</v>
      </c>
    </row>
    <row r="5304" spans="1:4" x14ac:dyDescent="0.25">
      <c r="A5304" t="str">
        <f>T("   901410")</f>
        <v xml:space="preserve">   901410</v>
      </c>
      <c r="B5304" t="str">
        <f>T("   Boussoles, y.c. les compas de navigation")</f>
        <v xml:space="preserve">   Boussoles, y.c. les compas de navigation</v>
      </c>
      <c r="C5304">
        <v>2939029</v>
      </c>
      <c r="D5304">
        <v>979</v>
      </c>
    </row>
    <row r="5305" spans="1:4" x14ac:dyDescent="0.25">
      <c r="A5305" t="str">
        <f>T("   901480")</f>
        <v xml:space="preserve">   901480</v>
      </c>
      <c r="B5305" t="str">
        <f>T("   Instruments et appareils de navigation (à l'excl. de ceux destinés à la navigation aérienne et spatiale, des boussoles et des appareils de radio navigation)")</f>
        <v xml:space="preserve">   Instruments et appareils de navigation (à l'excl. de ceux destinés à la navigation aérienne et spatiale, des boussoles et des appareils de radio navigation)</v>
      </c>
      <c r="C5305">
        <v>2448994</v>
      </c>
      <c r="D5305">
        <v>60</v>
      </c>
    </row>
    <row r="5306" spans="1:4" x14ac:dyDescent="0.25">
      <c r="A5306" t="str">
        <f>T("   901490")</f>
        <v xml:space="preserve">   901490</v>
      </c>
      <c r="B5306" t="str">
        <f>T("   Parties et accessoires de boussoles et d'autres instruments et appareils de navigation, n.d.a.")</f>
        <v xml:space="preserve">   Parties et accessoires de boussoles et d'autres instruments et appareils de navigation, n.d.a.</v>
      </c>
      <c r="C5306">
        <v>381769</v>
      </c>
      <c r="D5306">
        <v>5</v>
      </c>
    </row>
    <row r="5307" spans="1:4" x14ac:dyDescent="0.25">
      <c r="A5307" t="str">
        <f>T("   901510")</f>
        <v xml:space="preserve">   901510</v>
      </c>
      <c r="B5307" t="str">
        <f>T("   Télémètres")</f>
        <v xml:space="preserve">   Télémètres</v>
      </c>
      <c r="C5307">
        <v>412599</v>
      </c>
      <c r="D5307">
        <v>36</v>
      </c>
    </row>
    <row r="5308" spans="1:4" x14ac:dyDescent="0.25">
      <c r="A5308" t="str">
        <f>T("   901530")</f>
        <v xml:space="preserve">   901530</v>
      </c>
      <c r="B5308" t="str">
        <f>T("   Niveaux")</f>
        <v xml:space="preserve">   Niveaux</v>
      </c>
      <c r="C5308">
        <v>3471996</v>
      </c>
      <c r="D5308">
        <v>1223</v>
      </c>
    </row>
    <row r="5309" spans="1:4" x14ac:dyDescent="0.25">
      <c r="A5309" t="str">
        <f>T("   901580")</f>
        <v xml:space="preserve">   901580</v>
      </c>
      <c r="B5309" t="s">
        <v>493</v>
      </c>
      <c r="C5309">
        <v>275412752</v>
      </c>
      <c r="D5309">
        <v>2232</v>
      </c>
    </row>
    <row r="5310" spans="1:4" x14ac:dyDescent="0.25">
      <c r="A5310" t="str">
        <f>T("   901590")</f>
        <v xml:space="preserve">   901590</v>
      </c>
      <c r="B5310" t="str">
        <f>T("   Parties et accessoires des instruments et appareils de géodésie, de topographie, d'arpentage, de nivellement, de photogrammétrie, d'hydrographie, d'océanographie, d'hydrologie, de météorologie ou de géophysique ainsi que des télémètres, n.d.a.")</f>
        <v xml:space="preserve">   Parties et accessoires des instruments et appareils de géodésie, de topographie, d'arpentage, de nivellement, de photogrammétrie, d'hydrographie, d'océanographie, d'hydrologie, de météorologie ou de géophysique ainsi que des télémètres, n.d.a.</v>
      </c>
      <c r="C5310">
        <v>18399678</v>
      </c>
      <c r="D5310">
        <v>26</v>
      </c>
    </row>
    <row r="5311" spans="1:4" x14ac:dyDescent="0.25">
      <c r="A5311" t="str">
        <f>T("   901600")</f>
        <v xml:space="preserve">   901600</v>
      </c>
      <c r="B5311" t="str">
        <f>T("   Balances sensibles à un poids de 5 cg ou moins, avec ou sans poids")</f>
        <v xml:space="preserve">   Balances sensibles à un poids de 5 cg ou moins, avec ou sans poids</v>
      </c>
      <c r="C5311">
        <v>3896402</v>
      </c>
      <c r="D5311">
        <v>19</v>
      </c>
    </row>
    <row r="5312" spans="1:4" x14ac:dyDescent="0.25">
      <c r="A5312" t="str">
        <f>T("   901720")</f>
        <v xml:space="preserve">   901720</v>
      </c>
      <c r="B5312" t="str">
        <f>T("   Instruments de dessin, de traçage et de calcul (sauf tables et machines à dessiner ainsi que calculatrices)")</f>
        <v xml:space="preserve">   Instruments de dessin, de traçage et de calcul (sauf tables et machines à dessiner ainsi que calculatrices)</v>
      </c>
      <c r="C5312">
        <v>2260554</v>
      </c>
      <c r="D5312">
        <v>402</v>
      </c>
    </row>
    <row r="5313" spans="1:4" x14ac:dyDescent="0.25">
      <c r="A5313" t="str">
        <f>T("   901730")</f>
        <v xml:space="preserve">   901730</v>
      </c>
      <c r="B5313" t="str">
        <f>T("   Micromètres, pieds à coulisses, calibres et jauges")</f>
        <v xml:space="preserve">   Micromètres, pieds à coulisses, calibres et jauges</v>
      </c>
      <c r="C5313">
        <v>1709589</v>
      </c>
      <c r="D5313">
        <v>145</v>
      </c>
    </row>
    <row r="5314" spans="1:4" x14ac:dyDescent="0.25">
      <c r="A5314" t="str">
        <f>T("   901780")</f>
        <v xml:space="preserve">   901780</v>
      </c>
      <c r="B5314" t="str">
        <f>T("   Instruments de mesure de longueurs, pour emploi à la main, n.d.a.")</f>
        <v xml:space="preserve">   Instruments de mesure de longueurs, pour emploi à la main, n.d.a.</v>
      </c>
      <c r="C5314">
        <v>2715465</v>
      </c>
      <c r="D5314">
        <v>573</v>
      </c>
    </row>
    <row r="5315" spans="1:4" x14ac:dyDescent="0.25">
      <c r="A5315" t="str">
        <f>T("   901790")</f>
        <v xml:space="preserve">   901790</v>
      </c>
      <c r="B5315" t="str">
        <f>T("   Parties et accessoires des instruments de dessin, de traçage ou de calcul et de mesure de longueurs pour emploi à la main, n.d.a.")</f>
        <v xml:space="preserve">   Parties et accessoires des instruments de dessin, de traçage ou de calcul et de mesure de longueurs pour emploi à la main, n.d.a.</v>
      </c>
      <c r="C5315">
        <v>66908</v>
      </c>
      <c r="D5315">
        <v>26</v>
      </c>
    </row>
    <row r="5316" spans="1:4" x14ac:dyDescent="0.25">
      <c r="A5316" t="str">
        <f>T("   901812")</f>
        <v xml:space="preserve">   901812</v>
      </c>
      <c r="B5316" t="str">
        <f>T("   Appareils de diagnostic par balayage ultrasonique [scanners]")</f>
        <v xml:space="preserve">   Appareils de diagnostic par balayage ultrasonique [scanners]</v>
      </c>
      <c r="C5316">
        <v>17047167</v>
      </c>
      <c r="D5316">
        <v>3630</v>
      </c>
    </row>
    <row r="5317" spans="1:4" x14ac:dyDescent="0.25">
      <c r="A5317" t="str">
        <f>T("   901813")</f>
        <v xml:space="preserve">   901813</v>
      </c>
      <c r="B5317" t="str">
        <f>T("   Appareils de diagnostic par visualisation à résonance magnétique")</f>
        <v xml:space="preserve">   Appareils de diagnostic par visualisation à résonance magnétique</v>
      </c>
      <c r="C5317">
        <v>688745</v>
      </c>
      <c r="D5317">
        <v>400</v>
      </c>
    </row>
    <row r="5318" spans="1:4" x14ac:dyDescent="0.25">
      <c r="A5318" t="str">
        <f>T("   901819")</f>
        <v xml:space="preserve">   901819</v>
      </c>
      <c r="B5318" t="s">
        <v>494</v>
      </c>
      <c r="C5318">
        <v>53446870</v>
      </c>
      <c r="D5318">
        <v>5964</v>
      </c>
    </row>
    <row r="5319" spans="1:4" x14ac:dyDescent="0.25">
      <c r="A5319" t="str">
        <f>T("   901831")</f>
        <v xml:space="preserve">   901831</v>
      </c>
      <c r="B5319" t="str">
        <f>T("   Seringues, avec ou sans aiguilles, pour la médecine")</f>
        <v xml:space="preserve">   Seringues, avec ou sans aiguilles, pour la médecine</v>
      </c>
      <c r="C5319">
        <v>22757295</v>
      </c>
      <c r="D5319">
        <v>1933</v>
      </c>
    </row>
    <row r="5320" spans="1:4" x14ac:dyDescent="0.25">
      <c r="A5320" t="str">
        <f>T("   901839")</f>
        <v xml:space="preserve">   901839</v>
      </c>
      <c r="B5320"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5320">
        <v>10027183</v>
      </c>
      <c r="D5320">
        <v>697</v>
      </c>
    </row>
    <row r="5321" spans="1:4" x14ac:dyDescent="0.25">
      <c r="A5321" t="str">
        <f>T("   901849")</f>
        <v xml:space="preserve">   901849</v>
      </c>
      <c r="B5321" t="str">
        <f>T("   Instruments et appareils pour l'art dentaire, n.d.a.")</f>
        <v xml:space="preserve">   Instruments et appareils pour l'art dentaire, n.d.a.</v>
      </c>
      <c r="C5321">
        <v>4183378</v>
      </c>
      <c r="D5321">
        <v>4800</v>
      </c>
    </row>
    <row r="5322" spans="1:4" x14ac:dyDescent="0.25">
      <c r="A5322" t="str">
        <f>T("   901890")</f>
        <v xml:space="preserve">   901890</v>
      </c>
      <c r="B5322" t="str">
        <f>T("   Instruments et appareils pour la médecine, la chirurgie ou l'art vétérinaire, n.d.a.")</f>
        <v xml:space="preserve">   Instruments et appareils pour la médecine, la chirurgie ou l'art vétérinaire, n.d.a.</v>
      </c>
      <c r="C5322">
        <v>379821617</v>
      </c>
      <c r="D5322">
        <v>62926.94</v>
      </c>
    </row>
    <row r="5323" spans="1:4" x14ac:dyDescent="0.25">
      <c r="A5323" t="str">
        <f>T("   901910")</f>
        <v xml:space="preserve">   901910</v>
      </c>
      <c r="B5323" t="str">
        <f>T("   Appareils de mécanothérapie, appareils de massage et appareils de psychotechnie")</f>
        <v xml:space="preserve">   Appareils de mécanothérapie, appareils de massage et appareils de psychotechnie</v>
      </c>
      <c r="C5323">
        <v>21294973</v>
      </c>
      <c r="D5323">
        <v>5053.75</v>
      </c>
    </row>
    <row r="5324" spans="1:4" x14ac:dyDescent="0.25">
      <c r="A5324" t="str">
        <f>T("   901920")</f>
        <v xml:space="preserve">   901920</v>
      </c>
      <c r="B5324" t="str">
        <f>T("   APPAREILS D'OZONOTHERAPIE, D'OXYGÉNOTHERAPIE, D'AÉROSOLTHERAPIE; APPAREILS RESPIRATOIRES DE RÉANIMATION ET AUTRES APPAREILS DE THERAPIE RESPIRATOIRE")</f>
        <v xml:space="preserve">   APPAREILS D'OZONOTHERAPIE, D'OXYGÉNOTHERAPIE, D'AÉROSOLTHERAPIE; APPAREILS RESPIRATOIRES DE RÉANIMATION ET AUTRES APPAREILS DE THERAPIE RESPIRATOIRE</v>
      </c>
      <c r="C5324">
        <v>14718035</v>
      </c>
      <c r="D5324">
        <v>252</v>
      </c>
    </row>
    <row r="5325" spans="1:4" x14ac:dyDescent="0.25">
      <c r="A5325" t="str">
        <f>T("   902000")</f>
        <v xml:space="preserve">   902000</v>
      </c>
      <c r="B5325" t="str">
        <f>T("   APPAREILS RESPIRATOIRES ET MASQUES À GAZ (À L'EXCL. DES MASQUES DE PROTECTION DÉPOURVUS DE MÉCANISME ET D'ÉLÉMENT FILTRANT AMOVIBLE AINSI QUE DES APPAREILS DE RESPIRATOIRES DE RÉANIMATION ET AUTRES APPAREILS DE THERAPIE RESPIRATOIRE)")</f>
        <v xml:space="preserve">   APPAREILS RESPIRATOIRES ET MASQUES À GAZ (À L'EXCL. DES MASQUES DE PROTECTION DÉPOURVUS DE MÉCANISME ET D'ÉLÉMENT FILTRANT AMOVIBLE AINSI QUE DES APPAREILS DE RESPIRATOIRES DE RÉANIMATION ET AUTRES APPAREILS DE THERAPIE RESPIRATOIRE)</v>
      </c>
      <c r="C5325">
        <v>6161432</v>
      </c>
      <c r="D5325">
        <v>666</v>
      </c>
    </row>
    <row r="5326" spans="1:4" x14ac:dyDescent="0.25">
      <c r="A5326" t="str">
        <f>T("   902110")</f>
        <v xml:space="preserve">   902110</v>
      </c>
      <c r="B5326" t="str">
        <f>T("   Appareils d'orthopédie ou pour fractures")</f>
        <v xml:space="preserve">   Appareils d'orthopédie ou pour fractures</v>
      </c>
      <c r="C5326">
        <v>12284156</v>
      </c>
      <c r="D5326">
        <v>3264</v>
      </c>
    </row>
    <row r="5327" spans="1:4" x14ac:dyDescent="0.25">
      <c r="A5327" t="str">
        <f>T("   902139")</f>
        <v xml:space="preserve">   902139</v>
      </c>
      <c r="B5327" t="str">
        <f>T("   Articles et appareils de prothèse (sauf de prothèse dentaire et prothèses articulaires)")</f>
        <v xml:space="preserve">   Articles et appareils de prothèse (sauf de prothèse dentaire et prothèses articulaires)</v>
      </c>
      <c r="C5327">
        <v>885546</v>
      </c>
      <c r="D5327">
        <v>416</v>
      </c>
    </row>
    <row r="5328" spans="1:4" x14ac:dyDescent="0.25">
      <c r="A5328" t="str">
        <f>T("   902190")</f>
        <v xml:space="preserve">   902190</v>
      </c>
      <c r="B5328" t="s">
        <v>495</v>
      </c>
      <c r="C5328">
        <v>1332903</v>
      </c>
      <c r="D5328">
        <v>2291</v>
      </c>
    </row>
    <row r="5329" spans="1:4" x14ac:dyDescent="0.25">
      <c r="A5329" t="str">
        <f>T("   902214")</f>
        <v xml:space="preserve">   902214</v>
      </c>
      <c r="B5329"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5329">
        <v>62316514</v>
      </c>
      <c r="D5329">
        <v>4315</v>
      </c>
    </row>
    <row r="5330" spans="1:4" x14ac:dyDescent="0.25">
      <c r="A5330" t="str">
        <f>T("   902221")</f>
        <v xml:space="preserve">   902221</v>
      </c>
      <c r="B5330" t="str">
        <f>T("   Appareils utilisant les radiations alpha, bêta ou gamma, à usage médical, chirurgical, dentaire ou vétérinaire")</f>
        <v xml:space="preserve">   Appareils utilisant les radiations alpha, bêta ou gamma, à usage médical, chirurgical, dentaire ou vétérinaire</v>
      </c>
      <c r="C5330">
        <v>1499839</v>
      </c>
      <c r="D5330">
        <v>4910</v>
      </c>
    </row>
    <row r="5331" spans="1:4" x14ac:dyDescent="0.25">
      <c r="A5331" t="str">
        <f>T("   902229")</f>
        <v xml:space="preserve">   902229</v>
      </c>
      <c r="B5331" t="str">
        <f>T("   Appareils utilisant les radiations alpha, bêta ou gamma (à usage autre que médical, chirurgical, dentaire ou vétérinaire)")</f>
        <v xml:space="preserve">   Appareils utilisant les radiations alpha, bêta ou gamma (à usage autre que médical, chirurgical, dentaire ou vétérinaire)</v>
      </c>
      <c r="C5331">
        <v>1021349</v>
      </c>
      <c r="D5331">
        <v>57</v>
      </c>
    </row>
    <row r="5332" spans="1:4" x14ac:dyDescent="0.25">
      <c r="A5332" t="str">
        <f>T("   902290")</f>
        <v xml:space="preserve">   902290</v>
      </c>
      <c r="B5332" t="s">
        <v>496</v>
      </c>
      <c r="C5332">
        <v>864768</v>
      </c>
      <c r="D5332">
        <v>300</v>
      </c>
    </row>
    <row r="5333" spans="1:4" x14ac:dyDescent="0.25">
      <c r="A5333" t="str">
        <f>T("   902300")</f>
        <v xml:space="preserve">   902300</v>
      </c>
      <c r="B5333" t="s">
        <v>497</v>
      </c>
      <c r="C5333">
        <v>4339176</v>
      </c>
      <c r="D5333">
        <v>159</v>
      </c>
    </row>
    <row r="5334" spans="1:4" x14ac:dyDescent="0.25">
      <c r="A5334" t="str">
        <f>T("   902480")</f>
        <v xml:space="preserve">   902480</v>
      </c>
      <c r="B5334" t="str">
        <f>T("   Machines et appareils d'essais des propriétés mécaniques des matériaux (autres que les métaux)")</f>
        <v xml:space="preserve">   Machines et appareils d'essais des propriétés mécaniques des matériaux (autres que les métaux)</v>
      </c>
      <c r="C5334">
        <v>3950000</v>
      </c>
      <c r="D5334">
        <v>5738</v>
      </c>
    </row>
    <row r="5335" spans="1:4" x14ac:dyDescent="0.25">
      <c r="A5335" t="str">
        <f>T("   902511")</f>
        <v xml:space="preserve">   902511</v>
      </c>
      <c r="B5335" t="str">
        <f>T("   THERMOMÈTRES À LIQUIDE, À LECTURE DIRECTE, NON-COMBINÉS À D'AUTRES INSTRUMENTS")</f>
        <v xml:space="preserve">   THERMOMÈTRES À LIQUIDE, À LECTURE DIRECTE, NON-COMBINÉS À D'AUTRES INSTRUMENTS</v>
      </c>
      <c r="C5335">
        <v>5431939</v>
      </c>
      <c r="D5335">
        <v>1134</v>
      </c>
    </row>
    <row r="5336" spans="1:4" x14ac:dyDescent="0.25">
      <c r="A5336" t="str">
        <f>T("   902519")</f>
        <v xml:space="preserve">   902519</v>
      </c>
      <c r="B5336"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5336">
        <v>10390152</v>
      </c>
      <c r="D5336">
        <v>125</v>
      </c>
    </row>
    <row r="5337" spans="1:4" x14ac:dyDescent="0.25">
      <c r="A5337" t="str">
        <f>T("   902580")</f>
        <v xml:space="preserve">   902580</v>
      </c>
      <c r="B5337" t="s">
        <v>498</v>
      </c>
      <c r="C5337">
        <v>4522019</v>
      </c>
      <c r="D5337">
        <v>675</v>
      </c>
    </row>
    <row r="5338" spans="1:4" x14ac:dyDescent="0.25">
      <c r="A5338" t="str">
        <f>T("   902590")</f>
        <v xml:space="preserve">   902590</v>
      </c>
      <c r="B5338" t="str">
        <f>T("   Parties et accessoires des densimètres, aréomètres, pèse-liquides et instruments flottants simil., des thermomètres, pyromètres, baromètres, hygromètres et psychromètres, n.d.a.")</f>
        <v xml:space="preserve">   Parties et accessoires des densimètres, aréomètres, pèse-liquides et instruments flottants simil., des thermomètres, pyromètres, baromètres, hygromètres et psychromètres, n.d.a.</v>
      </c>
      <c r="C5338">
        <v>2943949</v>
      </c>
      <c r="D5338">
        <v>7.8</v>
      </c>
    </row>
    <row r="5339" spans="1:4" x14ac:dyDescent="0.25">
      <c r="A5339" t="str">
        <f>T("   902610")</f>
        <v xml:space="preserve">   902610</v>
      </c>
      <c r="B5339"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5339">
        <v>23808283</v>
      </c>
      <c r="D5339">
        <v>640</v>
      </c>
    </row>
    <row r="5340" spans="1:4" x14ac:dyDescent="0.25">
      <c r="A5340" t="str">
        <f>T("   902620")</f>
        <v xml:space="preserve">   902620</v>
      </c>
      <c r="B5340"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5340">
        <v>31691896</v>
      </c>
      <c r="D5340">
        <v>2057</v>
      </c>
    </row>
    <row r="5341" spans="1:4" x14ac:dyDescent="0.25">
      <c r="A5341" t="str">
        <f>T("   902680")</f>
        <v xml:space="preserve">   902680</v>
      </c>
      <c r="B5341" t="str">
        <f>T("   Instruments et appareils pour la mesure et le contrôle des caractéristiques variables des liquides ou des gaz, n.d.a.")</f>
        <v xml:space="preserve">   Instruments et appareils pour la mesure et le contrôle des caractéristiques variables des liquides ou des gaz, n.d.a.</v>
      </c>
      <c r="C5341">
        <v>7645805</v>
      </c>
      <c r="D5341">
        <v>49</v>
      </c>
    </row>
    <row r="5342" spans="1:4" x14ac:dyDescent="0.25">
      <c r="A5342" t="str">
        <f>T("   902690")</f>
        <v xml:space="preserve">   902690</v>
      </c>
      <c r="B5342"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5342">
        <v>5523392</v>
      </c>
      <c r="D5342">
        <v>140</v>
      </c>
    </row>
    <row r="5343" spans="1:4" x14ac:dyDescent="0.25">
      <c r="A5343" t="str">
        <f>T("   902710")</f>
        <v xml:space="preserve">   902710</v>
      </c>
      <c r="B5343" t="str">
        <f>T("   Analyseurs de gaz ou de fumées")</f>
        <v xml:space="preserve">   Analyseurs de gaz ou de fumées</v>
      </c>
      <c r="C5343">
        <v>3170944</v>
      </c>
      <c r="D5343">
        <v>729</v>
      </c>
    </row>
    <row r="5344" spans="1:4" x14ac:dyDescent="0.25">
      <c r="A5344" t="str">
        <f>T("   902750")</f>
        <v xml:space="preserve">   902750</v>
      </c>
      <c r="B5344" t="str">
        <f>T("   Instruments et appareils utilisant les rayonnements optiques: UV, visibles, IR (à l'excl. des spectromètres, spectrophotomètres et spectrographes ainsi que des analyseurs de gaz ou de fumées)")</f>
        <v xml:space="preserve">   Instruments et appareils utilisant les rayonnements optiques: UV, visibles, IR (à l'excl. des spectromètres, spectrophotomètres et spectrographes ainsi que des analyseurs de gaz ou de fumées)</v>
      </c>
      <c r="C5344">
        <v>3004297</v>
      </c>
      <c r="D5344">
        <v>3.5</v>
      </c>
    </row>
    <row r="5345" spans="1:4" x14ac:dyDescent="0.25">
      <c r="A5345" t="str">
        <f>T("   902780")</f>
        <v xml:space="preserve">   902780</v>
      </c>
      <c r="B5345"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5345">
        <v>51242263</v>
      </c>
      <c r="D5345">
        <v>1626</v>
      </c>
    </row>
    <row r="5346" spans="1:4" x14ac:dyDescent="0.25">
      <c r="A5346" t="str">
        <f>T("   902790")</f>
        <v xml:space="preserve">   902790</v>
      </c>
      <c r="B5346" t="s">
        <v>499</v>
      </c>
      <c r="C5346">
        <v>2830468</v>
      </c>
      <c r="D5346">
        <v>8</v>
      </c>
    </row>
    <row r="5347" spans="1:4" x14ac:dyDescent="0.25">
      <c r="A5347" t="str">
        <f>T("   902820")</f>
        <v xml:space="preserve">   902820</v>
      </c>
      <c r="B5347" t="str">
        <f>T("   Compteurs de liquides, y.c. les compteurs pour leur étalonnage")</f>
        <v xml:space="preserve">   Compteurs de liquides, y.c. les compteurs pour leur étalonnage</v>
      </c>
      <c r="C5347">
        <v>25568880</v>
      </c>
      <c r="D5347">
        <v>4279</v>
      </c>
    </row>
    <row r="5348" spans="1:4" x14ac:dyDescent="0.25">
      <c r="A5348" t="str">
        <f>T("   902830")</f>
        <v xml:space="preserve">   902830</v>
      </c>
      <c r="B5348" t="str">
        <f>T("   Compteurs d'électricité, y.c. les compteurs pour leur étalonnage")</f>
        <v xml:space="preserve">   Compteurs d'électricité, y.c. les compteurs pour leur étalonnage</v>
      </c>
      <c r="C5348">
        <v>4513885</v>
      </c>
      <c r="D5348">
        <v>22</v>
      </c>
    </row>
    <row r="5349" spans="1:4" x14ac:dyDescent="0.25">
      <c r="A5349" t="str">
        <f>T("   902890")</f>
        <v xml:space="preserve">   902890</v>
      </c>
      <c r="B5349" t="str">
        <f>T("   Parties et accessoires de compteurs de gaz, de liquides ou d'électricité, n.d.a.")</f>
        <v xml:space="preserve">   Parties et accessoires de compteurs de gaz, de liquides ou d'électricité, n.d.a.</v>
      </c>
      <c r="C5349">
        <v>1104280</v>
      </c>
      <c r="D5349">
        <v>2</v>
      </c>
    </row>
    <row r="5350" spans="1:4" x14ac:dyDescent="0.25">
      <c r="A5350" t="str">
        <f>T("   902910")</f>
        <v xml:space="preserve">   902910</v>
      </c>
      <c r="B5350"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5350">
        <v>49059</v>
      </c>
      <c r="D5350">
        <v>8</v>
      </c>
    </row>
    <row r="5351" spans="1:4" x14ac:dyDescent="0.25">
      <c r="A5351" t="str">
        <f>T("   902920")</f>
        <v xml:space="preserve">   902920</v>
      </c>
      <c r="B5351" t="str">
        <f>T("   Indicateurs de vitesse et tachymètres; stroboscopes")</f>
        <v xml:space="preserve">   Indicateurs de vitesse et tachymètres; stroboscopes</v>
      </c>
      <c r="C5351">
        <v>78715</v>
      </c>
      <c r="D5351">
        <v>1</v>
      </c>
    </row>
    <row r="5352" spans="1:4" x14ac:dyDescent="0.25">
      <c r="A5352" t="str">
        <f>T("   903020")</f>
        <v xml:space="preserve">   903020</v>
      </c>
      <c r="B5352" t="str">
        <f>T("   OSCILLOSCOPES ET OSCILLOGRAPHES")</f>
        <v xml:space="preserve">   OSCILLOSCOPES ET OSCILLOGRAPHES</v>
      </c>
      <c r="C5352">
        <v>436095</v>
      </c>
      <c r="D5352">
        <v>22</v>
      </c>
    </row>
    <row r="5353" spans="1:4" x14ac:dyDescent="0.25">
      <c r="A5353" t="str">
        <f>T("   903031")</f>
        <v xml:space="preserve">   903031</v>
      </c>
      <c r="B5353" t="str">
        <f>T("   Multimètres pour la mesure de la tension, de l'intensité, de la résistance ou de la puissance, sans dispositif enregistreur")</f>
        <v xml:space="preserve">   Multimètres pour la mesure de la tension, de l'intensité, de la résistance ou de la puissance, sans dispositif enregistreur</v>
      </c>
      <c r="C5353">
        <v>6134026</v>
      </c>
      <c r="D5353">
        <v>101</v>
      </c>
    </row>
    <row r="5354" spans="1:4" x14ac:dyDescent="0.25">
      <c r="A5354" t="str">
        <f>T("   903039")</f>
        <v xml:space="preserve">   903039</v>
      </c>
      <c r="B5354"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5354">
        <v>2346988</v>
      </c>
      <c r="D5354">
        <v>251</v>
      </c>
    </row>
    <row r="5355" spans="1:4" x14ac:dyDescent="0.25">
      <c r="A5355" t="str">
        <f>T("   903040")</f>
        <v xml:space="preserve">   903040</v>
      </c>
      <c r="B5355" t="str">
        <f>T("   Instruments et appareils pour la mesure ou le contrôle de grandeurs électriques, spécialement conçus pour les techniques de la télécommunication, p.ex. hypsomètres, kerdomètres, distorsiomètres, psophomètres")</f>
        <v xml:space="preserve">   Instruments et appareils pour la mesure ou le contrôle de grandeurs électriques, spécialement conçus pour les techniques de la télécommunication, p.ex. hypsomètres, kerdomètres, distorsiomètres, psophomètres</v>
      </c>
      <c r="C5355">
        <v>5157753</v>
      </c>
      <c r="D5355">
        <v>16</v>
      </c>
    </row>
    <row r="5356" spans="1:4" x14ac:dyDescent="0.25">
      <c r="A5356" t="str">
        <f>T("   903083")</f>
        <v xml:space="preserve">   903083</v>
      </c>
      <c r="B5356" t="s">
        <v>500</v>
      </c>
      <c r="C5356">
        <v>189323</v>
      </c>
      <c r="D5356">
        <v>7</v>
      </c>
    </row>
    <row r="5357" spans="1:4" x14ac:dyDescent="0.25">
      <c r="A5357" t="str">
        <f>T("   903089")</f>
        <v xml:space="preserve">   903089</v>
      </c>
      <c r="B5357" t="str">
        <f>T("   Instruments et appareils pour la mesure ou le contrôle de grandeurs électriques, sans dispositif enregistreur, n.d.a.")</f>
        <v xml:space="preserve">   Instruments et appareils pour la mesure ou le contrôle de grandeurs électriques, sans dispositif enregistreur, n.d.a.</v>
      </c>
      <c r="C5357">
        <v>29253850</v>
      </c>
      <c r="D5357">
        <v>1534</v>
      </c>
    </row>
    <row r="5358" spans="1:4" x14ac:dyDescent="0.25">
      <c r="A5358" t="str">
        <f>T("   903180")</f>
        <v xml:space="preserve">   903180</v>
      </c>
      <c r="B5358" t="str">
        <f>T("   INSTRUMENTS, APPAREILS ET MACHINES DE MESURE OU DE CONTRÔLE, NON-OPTIQUES, N.D.A. DANS LE PRÉSENT CHAPITRE")</f>
        <v xml:space="preserve">   INSTRUMENTS, APPAREILS ET MACHINES DE MESURE OU DE CONTRÔLE, NON-OPTIQUES, N.D.A. DANS LE PRÉSENT CHAPITRE</v>
      </c>
      <c r="C5358">
        <v>20064707</v>
      </c>
      <c r="D5358">
        <v>11367</v>
      </c>
    </row>
    <row r="5359" spans="1:4" x14ac:dyDescent="0.25">
      <c r="A5359" t="str">
        <f>T("   903190")</f>
        <v xml:space="preserve">   903190</v>
      </c>
      <c r="B5359" t="str">
        <f>T("   Parties et accessoires des instruments, appareils et machines de mesure ou de contrôle, n.d.a.")</f>
        <v xml:space="preserve">   Parties et accessoires des instruments, appareils et machines de mesure ou de contrôle, n.d.a.</v>
      </c>
      <c r="C5359">
        <v>12667899</v>
      </c>
      <c r="D5359">
        <v>171</v>
      </c>
    </row>
    <row r="5360" spans="1:4" x14ac:dyDescent="0.25">
      <c r="A5360" t="str">
        <f>T("   903210")</f>
        <v xml:space="preserve">   903210</v>
      </c>
      <c r="B5360" t="str">
        <f>T("   Thermostats pour la régulation ou le contrôle automatiques")</f>
        <v xml:space="preserve">   Thermostats pour la régulation ou le contrôle automatiques</v>
      </c>
      <c r="C5360">
        <v>2389753</v>
      </c>
      <c r="D5360">
        <v>57</v>
      </c>
    </row>
    <row r="5361" spans="1:4" x14ac:dyDescent="0.25">
      <c r="A5361" t="str">
        <f>T("   903220")</f>
        <v xml:space="preserve">   903220</v>
      </c>
      <c r="B5361" t="str">
        <f>T("   Manostats [pressostats] (sauf les articles de robinetterie du n° 8481)")</f>
        <v xml:space="preserve">   Manostats [pressostats] (sauf les articles de robinetterie du n° 8481)</v>
      </c>
      <c r="C5361">
        <v>4003666</v>
      </c>
      <c r="D5361">
        <v>70</v>
      </c>
    </row>
    <row r="5362" spans="1:4" x14ac:dyDescent="0.25">
      <c r="A5362" t="str">
        <f>T("   903281")</f>
        <v xml:space="preserve">   903281</v>
      </c>
      <c r="B5362" t="str">
        <f>T("   Instruments et appareils, hydrauliques et pneumatiques, pour la régulation ou le contrôle automatiques (à l'excl. des manostats [pressostats] et des articles de robinetterie du n° 8481)")</f>
        <v xml:space="preserve">   Instruments et appareils, hydrauliques et pneumatiques, pour la régulation ou le contrôle automatiques (à l'excl. des manostats [pressostats] et des articles de robinetterie du n° 8481)</v>
      </c>
      <c r="C5362">
        <v>4816714</v>
      </c>
      <c r="D5362">
        <v>69</v>
      </c>
    </row>
    <row r="5363" spans="1:4" x14ac:dyDescent="0.25">
      <c r="A5363" t="str">
        <f>T("   903289")</f>
        <v xml:space="preserve">   903289</v>
      </c>
      <c r="B5363" t="s">
        <v>501</v>
      </c>
      <c r="C5363">
        <v>21430816</v>
      </c>
      <c r="D5363">
        <v>2453</v>
      </c>
    </row>
    <row r="5364" spans="1:4" x14ac:dyDescent="0.25">
      <c r="A5364" t="str">
        <f>T("   903290")</f>
        <v xml:space="preserve">   903290</v>
      </c>
      <c r="B5364" t="str">
        <f>T("   Parties et accessoires des instruments et appareils pour la régulation ou le contrôle automatiques, n.d.a.")</f>
        <v xml:space="preserve">   Parties et accessoires des instruments et appareils pour la régulation ou le contrôle automatiques, n.d.a.</v>
      </c>
      <c r="C5364">
        <v>1044944</v>
      </c>
      <c r="D5364">
        <v>5</v>
      </c>
    </row>
    <row r="5365" spans="1:4" x14ac:dyDescent="0.25">
      <c r="A5365" t="str">
        <f>T("   903300")</f>
        <v xml:space="preserve">   903300</v>
      </c>
      <c r="B5365" t="str">
        <f>T("   Parties et accessoires pour machines, appareils, instruments ou articles du chapitre 90, non dénommés ni compris dans le présent chapitre ou ailleurs")</f>
        <v xml:space="preserve">   Parties et accessoires pour machines, appareils, instruments ou articles du chapitre 90, non dénommés ni compris dans le présent chapitre ou ailleurs</v>
      </c>
      <c r="C5365">
        <v>2575332</v>
      </c>
      <c r="D5365">
        <v>151</v>
      </c>
    </row>
    <row r="5366" spans="1:4" x14ac:dyDescent="0.25">
      <c r="A5366" t="str">
        <f>T("   910119")</f>
        <v xml:space="preserve">   910119</v>
      </c>
      <c r="B5366" t="str">
        <f>T("   Montres-bracelets, même incorporant un compteur de temps, fonctionnant électriquement, à affichage mécanique et optoélectronique, avec boîte en métaux précieux ou en plaqués ou doublés de métaux précieux (sauf celles dont le fond est en acier)")</f>
        <v xml:space="preserve">   Montres-bracelets, même incorporant un compteur de temps, fonctionnant électriquement, à affichage mécanique et optoélectronique, avec boîte en métaux précieux ou en plaqués ou doublés de métaux précieux (sauf celles dont le fond est en acier)</v>
      </c>
      <c r="C5366">
        <v>539855</v>
      </c>
      <c r="D5366">
        <v>130</v>
      </c>
    </row>
    <row r="5367" spans="1:4" x14ac:dyDescent="0.25">
      <c r="A5367" t="str">
        <f>T("   910199")</f>
        <v xml:space="preserve">   910199</v>
      </c>
      <c r="B5367" t="str">
        <f>T("   Montres de poche et simil., à remontage automatique ou manuel, y.c. les compteurs de temps du même type, avec boîte en métaux précieux ou en plaqués ou doublés de métaux précieux (sauf celles dont le fond est en acier et montres-bracelets)")</f>
        <v xml:space="preserve">   Montres de poche et simil., à remontage automatique ou manuel, y.c. les compteurs de temps du même type, avec boîte en métaux précieux ou en plaqués ou doublés de métaux précieux (sauf celles dont le fond est en acier et montres-bracelets)</v>
      </c>
      <c r="C5367">
        <v>502465</v>
      </c>
      <c r="D5367">
        <v>143</v>
      </c>
    </row>
    <row r="5368" spans="1:4" x14ac:dyDescent="0.25">
      <c r="A5368" t="str">
        <f>T("   910229")</f>
        <v xml:space="preserve">   910229</v>
      </c>
      <c r="B5368" t="str">
        <f>T("   Montres-bracelets, même incorporant un compteur de temps, à remontage exclusivement manuel (autres que celles en métaux précieux ou en plaqués ou doublés de métaux précieux)")</f>
        <v xml:space="preserve">   Montres-bracelets, même incorporant un compteur de temps, à remontage exclusivement manuel (autres que celles en métaux précieux ou en plaqués ou doublés de métaux précieux)</v>
      </c>
      <c r="C5368">
        <v>400000</v>
      </c>
      <c r="D5368">
        <v>400</v>
      </c>
    </row>
    <row r="5369" spans="1:4" x14ac:dyDescent="0.25">
      <c r="A5369" t="str">
        <f>T("   910291")</f>
        <v xml:space="preserve">   910291</v>
      </c>
      <c r="B5369" t="str">
        <f>T("   Montres de poche et montres simil., fonctionnant électriquement, y.c. les compteurs de temps du même type (autres que celles en métaux précieux ou en plaqués ou doublés de métaux précieux)")</f>
        <v xml:space="preserve">   Montres de poche et montres simil., fonctionnant électriquement, y.c. les compteurs de temps du même type (autres que celles en métaux précieux ou en plaqués ou doublés de métaux précieux)</v>
      </c>
      <c r="C5369">
        <v>2340036</v>
      </c>
      <c r="D5369">
        <v>281</v>
      </c>
    </row>
    <row r="5370" spans="1:4" x14ac:dyDescent="0.25">
      <c r="A5370" t="str">
        <f>T("   910521")</f>
        <v xml:space="preserve">   910521</v>
      </c>
      <c r="B5370" t="str">
        <f>T("   PENDULES ET HORLOGES, MURALES, FONCTIONNANT ÉLECTRIQUEMENT [01/01/1988-31/12/1994: PENDULES ET HORLOGES MURALES, A PILE OU A ACCUMULATEUR OU FONCTIONNANT SUR SECTEUR]")</f>
        <v xml:space="preserve">   PENDULES ET HORLOGES, MURALES, FONCTIONNANT ÉLECTRIQUEMENT [01/01/1988-31/12/1994: PENDULES ET HORLOGES MURALES, A PILE OU A ACCUMULATEUR OU FONCTIONNANT SUR SECTEUR]</v>
      </c>
      <c r="C5370">
        <v>1035859</v>
      </c>
      <c r="D5370">
        <v>568</v>
      </c>
    </row>
    <row r="5371" spans="1:4" x14ac:dyDescent="0.25">
      <c r="A5371" t="str">
        <f>T("   910529")</f>
        <v xml:space="preserve">   910529</v>
      </c>
      <c r="B5371" t="str">
        <f>T("   Pendules et horloges murales ne fonctionnant pas électriquement")</f>
        <v xml:space="preserve">   Pendules et horloges murales ne fonctionnant pas électriquement</v>
      </c>
      <c r="C5371">
        <v>1831572</v>
      </c>
      <c r="D5371">
        <v>168</v>
      </c>
    </row>
    <row r="5372" spans="1:4" x14ac:dyDescent="0.25">
      <c r="A5372" t="str">
        <f>T("   910599")</f>
        <v xml:space="preserve">   910599</v>
      </c>
      <c r="B5372" t="s">
        <v>502</v>
      </c>
      <c r="C5372">
        <v>482131</v>
      </c>
      <c r="D5372">
        <v>28</v>
      </c>
    </row>
    <row r="5373" spans="1:4" x14ac:dyDescent="0.25">
      <c r="A5373" t="str">
        <f>T("   910610")</f>
        <v xml:space="preserve">   910610</v>
      </c>
      <c r="B5373" t="str">
        <f>T("   HORLOGES DE POINTAGE; HORODATEURS ET HOROCOMPTEURS [01/01/1988-31/12/1994: HORLOGES DE POINTAGE; HORODATEURS ET HOROCOMPTEURS]")</f>
        <v xml:space="preserve">   HORLOGES DE POINTAGE; HORODATEURS ET HOROCOMPTEURS [01/01/1988-31/12/1994: HORLOGES DE POINTAGE; HORODATEURS ET HOROCOMPTEURS]</v>
      </c>
      <c r="C5373">
        <v>242705</v>
      </c>
      <c r="D5373">
        <v>4</v>
      </c>
    </row>
    <row r="5374" spans="1:4" x14ac:dyDescent="0.25">
      <c r="A5374" t="str">
        <f>T("   910690")</f>
        <v xml:space="preserve">   910690</v>
      </c>
      <c r="B5374" t="str">
        <f>T("   APPAREILS DE CONTRÔLE DE TEMPS, À MOUVEMENT D'HORLOGERIE OU À MOTEUR SYNCHRONE (AUTRES QU'APPAREILS D'HORLOGERIE DU N° 9101 À 9105, HORLOGES DE POINTAGE, HORODATEURS ET HOROCOMPTEURS)")</f>
        <v xml:space="preserve">   APPAREILS DE CONTRÔLE DE TEMPS, À MOUVEMENT D'HORLOGERIE OU À MOTEUR SYNCHRONE (AUTRES QU'APPAREILS D'HORLOGERIE DU N° 9101 À 9105, HORLOGES DE POINTAGE, HORODATEURS ET HOROCOMPTEURS)</v>
      </c>
      <c r="C5374">
        <v>219832</v>
      </c>
      <c r="D5374">
        <v>11</v>
      </c>
    </row>
    <row r="5375" spans="1:4" x14ac:dyDescent="0.25">
      <c r="A5375" t="str">
        <f>T("   910700")</f>
        <v xml:space="preserve">   910700</v>
      </c>
      <c r="B5375" t="str">
        <f>T("   Interrupteurs horaires et autres appareils permettant de déclencher un mécanisme à temps donné, munis d'un mouvement d'horlogerie ou d'un moteur synchrone")</f>
        <v xml:space="preserve">   Interrupteurs horaires et autres appareils permettant de déclencher un mécanisme à temps donné, munis d'un mouvement d'horlogerie ou d'un moteur synchrone</v>
      </c>
      <c r="C5375">
        <v>257187</v>
      </c>
      <c r="D5375">
        <v>45</v>
      </c>
    </row>
    <row r="5376" spans="1:4" x14ac:dyDescent="0.25">
      <c r="A5376" t="str">
        <f>T("   920600")</f>
        <v xml:space="preserve">   920600</v>
      </c>
      <c r="B5376" t="str">
        <f>T("   INSTRUMENTS DE MUSIQUE À PERCUSSION, P.EX. TAMBOURS, CAISSES, XYLOPHONES, CYMBALES, CASTAGNETTES, MARACAS [01/01/1988-31/12/1994: TAMBOURS, CAISSES, XYLOPHONES, CYMBALES, CASTAGNETTES, MARACAS ET AUTRES INSTRUMENTS DE MUSIQUE A PERCUSSION]")</f>
        <v xml:space="preserve">   INSTRUMENTS DE MUSIQUE À PERCUSSION, P.EX. TAMBOURS, CAISSES, XYLOPHONES, CYMBALES, CASTAGNETTES, MARACAS [01/01/1988-31/12/1994: TAMBOURS, CAISSES, XYLOPHONES, CYMBALES, CASTAGNETTES, MARACAS ET AUTRES INSTRUMENTS DE MUSIQUE A PERCUSSION]</v>
      </c>
      <c r="C5376">
        <v>440000</v>
      </c>
      <c r="D5376">
        <v>20</v>
      </c>
    </row>
    <row r="5377" spans="1:4" x14ac:dyDescent="0.25">
      <c r="A5377" t="str">
        <f>T("   930390")</f>
        <v xml:space="preserve">   930390</v>
      </c>
      <c r="B5377" t="str">
        <f>T("   Armes à feu et engins simil. utilisant la déflagration de la poudre (autres que fusils et carabines de chasse ou de tir sportif, revolvers et pistolets du n° 9302 ainsi qu'armes de guerre)")</f>
        <v xml:space="preserve">   Armes à feu et engins simil. utilisant la déflagration de la poudre (autres que fusils et carabines de chasse ou de tir sportif, revolvers et pistolets du n° 9302 ainsi qu'armes de guerre)</v>
      </c>
      <c r="C5377">
        <v>8000000</v>
      </c>
      <c r="D5377">
        <v>100</v>
      </c>
    </row>
    <row r="5378" spans="1:4" x14ac:dyDescent="0.25">
      <c r="A5378" t="str">
        <f>T("   930599")</f>
        <v xml:space="preserve">   930599</v>
      </c>
      <c r="B5378" t="str">
        <f>T("   Parties et accessoires pour armes et engins simil. du n° 9303 ou 9304, n.d.a. (à l'excl. des fusils ou carabines du n° 9303)")</f>
        <v xml:space="preserve">   Parties et accessoires pour armes et engins simil. du n° 9303 ou 9304, n.d.a. (à l'excl. des fusils ou carabines du n° 9303)</v>
      </c>
      <c r="C5378">
        <v>760000</v>
      </c>
      <c r="D5378">
        <v>50</v>
      </c>
    </row>
    <row r="5379" spans="1:4" x14ac:dyDescent="0.25">
      <c r="A5379" t="str">
        <f>T("   930629")</f>
        <v xml:space="preserve">   930629</v>
      </c>
      <c r="B5379" t="str">
        <f>T("   Parties de cartouches pour fusils ou carabines à canon lisse; plombs pour carabines et pistolets à air comprimé")</f>
        <v xml:space="preserve">   Parties de cartouches pour fusils ou carabines à canon lisse; plombs pour carabines et pistolets à air comprimé</v>
      </c>
      <c r="C5379">
        <v>5400000</v>
      </c>
      <c r="D5379">
        <v>200</v>
      </c>
    </row>
    <row r="5380" spans="1:4" x14ac:dyDescent="0.25">
      <c r="A5380" t="str">
        <f>T("   940120")</f>
        <v xml:space="preserve">   940120</v>
      </c>
      <c r="B5380" t="str">
        <f>T("   Sièges pour véhicules automobiles")</f>
        <v xml:space="preserve">   Sièges pour véhicules automobiles</v>
      </c>
      <c r="C5380">
        <v>3138112</v>
      </c>
      <c r="D5380">
        <v>443</v>
      </c>
    </row>
    <row r="5381" spans="1:4" x14ac:dyDescent="0.25">
      <c r="A5381" t="str">
        <f>T("   940150")</f>
        <v xml:space="preserve">   940150</v>
      </c>
      <c r="B5381" t="str">
        <f>T("   Sièges en rotin, en osier, en bambou ou en matières simil.")</f>
        <v xml:space="preserve">   Sièges en rotin, en osier, en bambou ou en matières simil.</v>
      </c>
      <c r="C5381">
        <v>218435</v>
      </c>
      <c r="D5381">
        <v>1875</v>
      </c>
    </row>
    <row r="5382" spans="1:4" x14ac:dyDescent="0.25">
      <c r="A5382" t="str">
        <f>T("   940161")</f>
        <v xml:space="preserve">   940161</v>
      </c>
      <c r="B5382" t="str">
        <f>T("   Sièges, avec bâti en bois, rembourrés (non transformables en lits)")</f>
        <v xml:space="preserve">   Sièges, avec bâti en bois, rembourrés (non transformables en lits)</v>
      </c>
      <c r="C5382">
        <v>2356995</v>
      </c>
      <c r="D5382">
        <v>900</v>
      </c>
    </row>
    <row r="5383" spans="1:4" x14ac:dyDescent="0.25">
      <c r="A5383" t="str">
        <f>T("   940169")</f>
        <v xml:space="preserve">   940169</v>
      </c>
      <c r="B5383" t="str">
        <f>T("   Sièges, avec bâti en bois, non rembourrés")</f>
        <v xml:space="preserve">   Sièges, avec bâti en bois, non rembourrés</v>
      </c>
      <c r="C5383">
        <v>3231915</v>
      </c>
      <c r="D5383">
        <v>400</v>
      </c>
    </row>
    <row r="5384" spans="1:4" x14ac:dyDescent="0.25">
      <c r="A5384" t="str">
        <f>T("   940179")</f>
        <v xml:space="preserve">   940179</v>
      </c>
      <c r="B5384"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5384">
        <v>30708046</v>
      </c>
      <c r="D5384">
        <v>99268</v>
      </c>
    </row>
    <row r="5385" spans="1:4" x14ac:dyDescent="0.25">
      <c r="A5385" t="str">
        <f>T("   940180")</f>
        <v xml:space="preserve">   940180</v>
      </c>
      <c r="B5385" t="str">
        <f>T("   Sièges, n.d.a.")</f>
        <v xml:space="preserve">   Sièges, n.d.a.</v>
      </c>
      <c r="C5385">
        <v>39847107</v>
      </c>
      <c r="D5385">
        <v>20146</v>
      </c>
    </row>
    <row r="5386" spans="1:4" x14ac:dyDescent="0.25">
      <c r="A5386" t="str">
        <f>T("   940190")</f>
        <v xml:space="preserve">   940190</v>
      </c>
      <c r="B5386" t="str">
        <f>T("   Parties de sièges, n.d.a.")</f>
        <v xml:space="preserve">   Parties de sièges, n.d.a.</v>
      </c>
      <c r="C5386">
        <v>1797330</v>
      </c>
      <c r="D5386">
        <v>272</v>
      </c>
    </row>
    <row r="5387" spans="1:4" x14ac:dyDescent="0.25">
      <c r="A5387" t="str">
        <f>T("   940210")</f>
        <v xml:space="preserve">   940210</v>
      </c>
      <c r="B5387"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5387">
        <v>27493909</v>
      </c>
      <c r="D5387">
        <v>6015</v>
      </c>
    </row>
    <row r="5388" spans="1:4" x14ac:dyDescent="0.25">
      <c r="A5388" t="str">
        <f>T("   940290")</f>
        <v xml:space="preserve">   940290</v>
      </c>
      <c r="B5388"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5388">
        <v>71556687</v>
      </c>
      <c r="D5388">
        <v>56851.15</v>
      </c>
    </row>
    <row r="5389" spans="1:4" x14ac:dyDescent="0.25">
      <c r="A5389" t="str">
        <f>T("   940310")</f>
        <v xml:space="preserve">   940310</v>
      </c>
      <c r="B5389" t="str">
        <f>T("   Meubles de bureau en métal (sauf sièges)")</f>
        <v xml:space="preserve">   Meubles de bureau en métal (sauf sièges)</v>
      </c>
      <c r="C5389">
        <v>106642955</v>
      </c>
      <c r="D5389">
        <v>55991</v>
      </c>
    </row>
    <row r="5390" spans="1:4" x14ac:dyDescent="0.25">
      <c r="A5390" t="str">
        <f>T("   940320")</f>
        <v xml:space="preserve">   940320</v>
      </c>
      <c r="B5390"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5390">
        <v>59760719</v>
      </c>
      <c r="D5390">
        <v>26001</v>
      </c>
    </row>
    <row r="5391" spans="1:4" x14ac:dyDescent="0.25">
      <c r="A5391" t="str">
        <f>T("   940330")</f>
        <v xml:space="preserve">   940330</v>
      </c>
      <c r="B5391" t="str">
        <f>T("   Meubles de bureau en bois (sauf sièges)")</f>
        <v xml:space="preserve">   Meubles de bureau en bois (sauf sièges)</v>
      </c>
      <c r="C5391">
        <v>16047879</v>
      </c>
      <c r="D5391">
        <v>28762</v>
      </c>
    </row>
    <row r="5392" spans="1:4" x14ac:dyDescent="0.25">
      <c r="A5392" t="str">
        <f>T("   940340")</f>
        <v xml:space="preserve">   940340</v>
      </c>
      <c r="B5392" t="str">
        <f>T("   Meubles de cuisine, en bois (sauf sièges)")</f>
        <v xml:space="preserve">   Meubles de cuisine, en bois (sauf sièges)</v>
      </c>
      <c r="C5392">
        <v>20831977</v>
      </c>
      <c r="D5392">
        <v>6623</v>
      </c>
    </row>
    <row r="5393" spans="1:4" x14ac:dyDescent="0.25">
      <c r="A5393" t="str">
        <f>T("   940350")</f>
        <v xml:space="preserve">   940350</v>
      </c>
      <c r="B5393" t="str">
        <f>T("   Meubles pour chambres à coucher, en bois (sauf sièges)")</f>
        <v xml:space="preserve">   Meubles pour chambres à coucher, en bois (sauf sièges)</v>
      </c>
      <c r="C5393">
        <v>37429517</v>
      </c>
      <c r="D5393">
        <v>41518</v>
      </c>
    </row>
    <row r="5394" spans="1:4" x14ac:dyDescent="0.25">
      <c r="A5394" t="str">
        <f>T("   940360")</f>
        <v xml:space="preserve">   940360</v>
      </c>
      <c r="B5394" t="str">
        <f>T("   Meubles en bois (autres que pour bureaux, cuisines ou chambres à coucher et autres que sièges)")</f>
        <v xml:space="preserve">   Meubles en bois (autres que pour bureaux, cuisines ou chambres à coucher et autres que sièges)</v>
      </c>
      <c r="C5394">
        <v>105509094</v>
      </c>
      <c r="D5394">
        <v>126234.6</v>
      </c>
    </row>
    <row r="5395" spans="1:4" x14ac:dyDescent="0.25">
      <c r="A5395" t="str">
        <f>T("   940370")</f>
        <v xml:space="preserve">   940370</v>
      </c>
      <c r="B5395"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5395">
        <v>1033216</v>
      </c>
      <c r="D5395">
        <v>5949</v>
      </c>
    </row>
    <row r="5396" spans="1:4" x14ac:dyDescent="0.25">
      <c r="A5396" t="str">
        <f>T("   940380")</f>
        <v xml:space="preserve">   940380</v>
      </c>
      <c r="B5396" t="str">
        <f>T("   Meubles en rotin, osier, bambou ou autres matières (sauf métal, bois et matières plastiques)")</f>
        <v xml:space="preserve">   Meubles en rotin, osier, bambou ou autres matières (sauf métal, bois et matières plastiques)</v>
      </c>
      <c r="C5396">
        <v>162312520</v>
      </c>
      <c r="D5396">
        <v>194791</v>
      </c>
    </row>
    <row r="5397" spans="1:4" x14ac:dyDescent="0.25">
      <c r="A5397" t="str">
        <f>T("   940390")</f>
        <v xml:space="preserve">   940390</v>
      </c>
      <c r="B5397"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5397">
        <v>12745606</v>
      </c>
      <c r="D5397">
        <v>5490</v>
      </c>
    </row>
    <row r="5398" spans="1:4" x14ac:dyDescent="0.25">
      <c r="A5398" t="str">
        <f>T("   940410")</f>
        <v xml:space="preserve">   940410</v>
      </c>
      <c r="B5398" t="str">
        <f>T("   Sommiers (sauf ressorts pour sièges)")</f>
        <v xml:space="preserve">   Sommiers (sauf ressorts pour sièges)</v>
      </c>
      <c r="C5398">
        <v>2918686</v>
      </c>
      <c r="D5398">
        <v>2224</v>
      </c>
    </row>
    <row r="5399" spans="1:4" x14ac:dyDescent="0.25">
      <c r="A5399" t="str">
        <f>T("   940421")</f>
        <v xml:space="preserve">   940421</v>
      </c>
      <c r="B5399" t="str">
        <f>T("   Matelas en caoutchouc alvéolaire ou en matières plastiques alvéolaires")</f>
        <v xml:space="preserve">   Matelas en caoutchouc alvéolaire ou en matières plastiques alvéolaires</v>
      </c>
      <c r="C5399">
        <v>844326</v>
      </c>
      <c r="D5399">
        <v>2526</v>
      </c>
    </row>
    <row r="5400" spans="1:4" x14ac:dyDescent="0.25">
      <c r="A5400" t="str">
        <f>T("   940429")</f>
        <v xml:space="preserve">   940429</v>
      </c>
      <c r="B5400"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5400">
        <v>13722752</v>
      </c>
      <c r="D5400">
        <v>7363</v>
      </c>
    </row>
    <row r="5401" spans="1:4" x14ac:dyDescent="0.25">
      <c r="A5401" t="str">
        <f>T("   940490")</f>
        <v xml:space="preserve">   940490</v>
      </c>
      <c r="B5401" t="s">
        <v>505</v>
      </c>
      <c r="C5401">
        <v>39550589</v>
      </c>
      <c r="D5401">
        <v>18072.5</v>
      </c>
    </row>
    <row r="5402" spans="1:4" x14ac:dyDescent="0.25">
      <c r="A5402" t="str">
        <f>T("   940510")</f>
        <v xml:space="preserve">   940510</v>
      </c>
      <c r="B5402"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5402">
        <v>59980449</v>
      </c>
      <c r="D5402">
        <v>8743</v>
      </c>
    </row>
    <row r="5403" spans="1:4" x14ac:dyDescent="0.25">
      <c r="A5403" t="str">
        <f>T("   940520")</f>
        <v xml:space="preserve">   940520</v>
      </c>
      <c r="B5403" t="str">
        <f>T("   Lampes de chevet, lampes de bureau et lampadaires d'intérieur, électriques")</f>
        <v xml:space="preserve">   Lampes de chevet, lampes de bureau et lampadaires d'intérieur, électriques</v>
      </c>
      <c r="C5403">
        <v>26865963</v>
      </c>
      <c r="D5403">
        <v>4043</v>
      </c>
    </row>
    <row r="5404" spans="1:4" x14ac:dyDescent="0.25">
      <c r="A5404" t="str">
        <f>T("   940530")</f>
        <v xml:space="preserve">   940530</v>
      </c>
      <c r="B5404" t="str">
        <f>T("   GUIRLANDES ÉLECTRIQUES POUR ARBRES DE NOÙL")</f>
        <v xml:space="preserve">   GUIRLANDES ÉLECTRIQUES POUR ARBRES DE NOÙL</v>
      </c>
      <c r="C5404">
        <v>4985297</v>
      </c>
      <c r="D5404">
        <v>603</v>
      </c>
    </row>
    <row r="5405" spans="1:4" x14ac:dyDescent="0.25">
      <c r="A5405" t="str">
        <f>T("   940540")</f>
        <v xml:space="preserve">   940540</v>
      </c>
      <c r="B5405" t="str">
        <f>T("   Appareils d'éclairage électrique, n.d.a.")</f>
        <v xml:space="preserve">   Appareils d'éclairage électrique, n.d.a.</v>
      </c>
      <c r="C5405">
        <v>38559600</v>
      </c>
      <c r="D5405">
        <v>7678.26</v>
      </c>
    </row>
    <row r="5406" spans="1:4" x14ac:dyDescent="0.25">
      <c r="A5406" t="str">
        <f>T("   940550")</f>
        <v xml:space="preserve">   940550</v>
      </c>
      <c r="B5406" t="str">
        <f>T("   Appareils d'éclairage non-électriques, n.d.a.")</f>
        <v xml:space="preserve">   Appareils d'éclairage non-électriques, n.d.a.</v>
      </c>
      <c r="C5406">
        <v>256972</v>
      </c>
      <c r="D5406">
        <v>21.5</v>
      </c>
    </row>
    <row r="5407" spans="1:4" x14ac:dyDescent="0.25">
      <c r="A5407" t="str">
        <f>T("   940560")</f>
        <v xml:space="preserve">   940560</v>
      </c>
      <c r="B5407"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5407">
        <v>43028414</v>
      </c>
      <c r="D5407">
        <v>16980</v>
      </c>
    </row>
    <row r="5408" spans="1:4" x14ac:dyDescent="0.25">
      <c r="A5408" t="str">
        <f>T("   940591")</f>
        <v xml:space="preserve">   940591</v>
      </c>
      <c r="B5408" t="str">
        <f>T("   Parties en verres d'appareils d'éclairage, de lampes-réclames, d'enseignes lumineuses, de plaques indicatrices lumineuses, et simil., n.d.a.")</f>
        <v xml:space="preserve">   Parties en verres d'appareils d'éclairage, de lampes-réclames, d'enseignes lumineuses, de plaques indicatrices lumineuses, et simil., n.d.a.</v>
      </c>
      <c r="C5408">
        <v>101229112</v>
      </c>
      <c r="D5408">
        <v>48800</v>
      </c>
    </row>
    <row r="5409" spans="1:4" x14ac:dyDescent="0.25">
      <c r="A5409" t="str">
        <f>T("   940599")</f>
        <v xml:space="preserve">   940599</v>
      </c>
      <c r="B5409" t="str">
        <f>T("   Parties d'appareils d'éclairage, de lampes-réclames, d'enseignes lumineuses, de plaques indicatrices lumineuses, et simil., n.d.a.")</f>
        <v xml:space="preserve">   Parties d'appareils d'éclairage, de lampes-réclames, d'enseignes lumineuses, de plaques indicatrices lumineuses, et simil., n.d.a.</v>
      </c>
      <c r="C5409">
        <v>988533</v>
      </c>
      <c r="D5409">
        <v>404.75</v>
      </c>
    </row>
    <row r="5410" spans="1:4" x14ac:dyDescent="0.25">
      <c r="A5410" t="str">
        <f>T("   940600")</f>
        <v xml:space="preserve">   940600</v>
      </c>
      <c r="B5410" t="str">
        <f>T("   Constructions préfabriquées, même incomplètes ou non encore montées")</f>
        <v xml:space="preserve">   Constructions préfabriquées, même incomplètes ou non encore montées</v>
      </c>
      <c r="C5410">
        <v>2507906</v>
      </c>
      <c r="D5410">
        <v>660.85</v>
      </c>
    </row>
    <row r="5411" spans="1:4" x14ac:dyDescent="0.25">
      <c r="A5411" t="str">
        <f>T("   950100")</f>
        <v xml:space="preserve">   950100</v>
      </c>
      <c r="B5411"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5411">
        <v>1301438</v>
      </c>
      <c r="D5411">
        <v>962</v>
      </c>
    </row>
    <row r="5412" spans="1:4" x14ac:dyDescent="0.25">
      <c r="A5412" t="str">
        <f>T("   950299")</f>
        <v xml:space="preserve">   950299</v>
      </c>
      <c r="B5412" t="str">
        <f>T("   Parties et accessoires pour poupées représentant uniquement l'être humain, n.d.a.")</f>
        <v xml:space="preserve">   Parties et accessoires pour poupées représentant uniquement l'être humain, n.d.a.</v>
      </c>
      <c r="C5412">
        <v>390000</v>
      </c>
      <c r="D5412">
        <v>491</v>
      </c>
    </row>
    <row r="5413" spans="1:4" x14ac:dyDescent="0.25">
      <c r="A5413" t="str">
        <f>T("   950330")</f>
        <v xml:space="preserve">   950330</v>
      </c>
      <c r="B5413" t="str">
        <f>T("   Assortiments et jouets de construction (sauf modèles réduits à assembler)")</f>
        <v xml:space="preserve">   Assortiments et jouets de construction (sauf modèles réduits à assembler)</v>
      </c>
      <c r="C5413">
        <v>660552</v>
      </c>
      <c r="D5413">
        <v>2817</v>
      </c>
    </row>
    <row r="5414" spans="1:4" x14ac:dyDescent="0.25">
      <c r="A5414" t="str">
        <f>T("   950349")</f>
        <v xml:space="preserve">   950349</v>
      </c>
      <c r="B5414" t="str">
        <f>T("   JOUETS REPRÉSENTANT DES ANIMAUX OU DES CRÉATURES NON-HUMAINES, NON-REMBOURRÉS")</f>
        <v xml:space="preserve">   JOUETS REPRÉSENTANT DES ANIMAUX OU DES CRÉATURES NON-HUMAINES, NON-REMBOURRÉS</v>
      </c>
      <c r="C5414">
        <v>327980</v>
      </c>
      <c r="D5414">
        <v>740</v>
      </c>
    </row>
    <row r="5415" spans="1:4" x14ac:dyDescent="0.25">
      <c r="A5415" t="str">
        <f>T("   950350")</f>
        <v xml:space="preserve">   950350</v>
      </c>
      <c r="B5415" t="str">
        <f>T("   INSTRUMENTS ET APPAREILS DE MUSIQUE-JOUETS")</f>
        <v xml:space="preserve">   INSTRUMENTS ET APPAREILS DE MUSIQUE-JOUETS</v>
      </c>
      <c r="C5415">
        <v>3060748</v>
      </c>
      <c r="D5415">
        <v>196</v>
      </c>
    </row>
    <row r="5416" spans="1:4" x14ac:dyDescent="0.25">
      <c r="A5416" t="str">
        <f>T("   950360")</f>
        <v xml:space="preserve">   950360</v>
      </c>
      <c r="B5416" t="str">
        <f>T("   PUZZLES")</f>
        <v xml:space="preserve">   PUZZLES</v>
      </c>
      <c r="C5416">
        <v>57725</v>
      </c>
      <c r="D5416">
        <v>354</v>
      </c>
    </row>
    <row r="5417" spans="1:4" x14ac:dyDescent="0.25">
      <c r="A5417" t="str">
        <f>T("   950370")</f>
        <v xml:space="preserve">   950370</v>
      </c>
      <c r="B5417" t="str">
        <f>T("   Jouets présentés en assortiments ou en panoplies (sauf trains électriques, y.c. accessoires, sauf modèles réduits à assembler, cubes et jeux de construction et puzzles)")</f>
        <v xml:space="preserve">   Jouets présentés en assortiments ou en panoplies (sauf trains électriques, y.c. accessoires, sauf modèles réduits à assembler, cubes et jeux de construction et puzzles)</v>
      </c>
      <c r="C5417">
        <v>67620296</v>
      </c>
      <c r="D5417">
        <v>17352</v>
      </c>
    </row>
    <row r="5418" spans="1:4" x14ac:dyDescent="0.25">
      <c r="A5418" t="str">
        <f>T("   950380")</f>
        <v xml:space="preserve">   950380</v>
      </c>
      <c r="B5418" t="str">
        <f>T("   JOUETS ET MODÈLES, À MOTEUR (SAUF TRAINS ÉLECTRIQUES, Y.C. LES ACCESSOIRES, SAUF MODÈLES RÉDUITS À ASSEMBLER, JOUETS REPRÉSENTANT DES ANIMAUX OU DES CRÉATURES NON-HUMAINES)")</f>
        <v xml:space="preserve">   JOUETS ET MODÈLES, À MOTEUR (SAUF TRAINS ÉLECTRIQUES, Y.C. LES ACCESSOIRES, SAUF MODÈLES RÉDUITS À ASSEMBLER, JOUETS REPRÉSENTANT DES ANIMAUX OU DES CRÉATURES NON-HUMAINES)</v>
      </c>
      <c r="C5418">
        <v>14522298</v>
      </c>
      <c r="D5418">
        <v>3314</v>
      </c>
    </row>
    <row r="5419" spans="1:4" x14ac:dyDescent="0.25">
      <c r="A5419" t="str">
        <f>T("   950390")</f>
        <v xml:space="preserve">   950390</v>
      </c>
      <c r="B5419" t="str">
        <f>T("   Jouets, n.d.a.")</f>
        <v xml:space="preserve">   Jouets, n.d.a.</v>
      </c>
      <c r="C5419">
        <v>20190449</v>
      </c>
      <c r="D5419">
        <v>12340</v>
      </c>
    </row>
    <row r="5420" spans="1:4" x14ac:dyDescent="0.25">
      <c r="A5420" t="str">
        <f>T("   950410")</f>
        <v xml:space="preserve">   950410</v>
      </c>
      <c r="B5420" t="str">
        <f>T("   Jeux vidéo des types utilisables avec un récepteur de télévision")</f>
        <v xml:space="preserve">   Jeux vidéo des types utilisables avec un récepteur de télévision</v>
      </c>
      <c r="C5420">
        <v>495040</v>
      </c>
      <c r="D5420">
        <v>100</v>
      </c>
    </row>
    <row r="5421" spans="1:4" x14ac:dyDescent="0.25">
      <c r="A5421" t="str">
        <f>T("   950420")</f>
        <v xml:space="preserve">   950420</v>
      </c>
      <c r="B5421" t="str">
        <f>T("   BILLARDS DE TOUT GENRE ET LEURS ACCESSOIRES")</f>
        <v xml:space="preserve">   BILLARDS DE TOUT GENRE ET LEURS ACCESSOIRES</v>
      </c>
      <c r="C5421">
        <v>402103</v>
      </c>
      <c r="D5421">
        <v>372</v>
      </c>
    </row>
    <row r="5422" spans="1:4" x14ac:dyDescent="0.25">
      <c r="A5422" t="str">
        <f>T("   950430")</f>
        <v xml:space="preserve">   950430</v>
      </c>
      <c r="B5422" t="s">
        <v>506</v>
      </c>
      <c r="C5422">
        <v>35142587</v>
      </c>
      <c r="D5422">
        <v>3776</v>
      </c>
    </row>
    <row r="5423" spans="1:4" x14ac:dyDescent="0.25">
      <c r="A5423" t="str">
        <f>T("   950490")</f>
        <v xml:space="preserve">   950490</v>
      </c>
      <c r="B5423" t="s">
        <v>507</v>
      </c>
      <c r="C5423">
        <v>4727012</v>
      </c>
      <c r="D5423">
        <v>543</v>
      </c>
    </row>
    <row r="5424" spans="1:4" x14ac:dyDescent="0.25">
      <c r="A5424" t="str">
        <f>T("   950510")</f>
        <v xml:space="preserve">   950510</v>
      </c>
      <c r="B5424" t="str">
        <f>T("   Articles pour fêtes de Noël (sauf bougies et guirlandes électriques)")</f>
        <v xml:space="preserve">   Articles pour fêtes de Noël (sauf bougies et guirlandes électriques)</v>
      </c>
      <c r="C5424">
        <v>4202736</v>
      </c>
      <c r="D5424">
        <v>931</v>
      </c>
    </row>
    <row r="5425" spans="1:4" x14ac:dyDescent="0.25">
      <c r="A5425" t="str">
        <f>T("   950590")</f>
        <v xml:space="preserve">   950590</v>
      </c>
      <c r="B5425" t="str">
        <f>T("   Articles pour fêtes, carnaval ou autres divertissements, y.c. les articles de magie et articles-surprises, n.d.a.")</f>
        <v xml:space="preserve">   Articles pour fêtes, carnaval ou autres divertissements, y.c. les articles de magie et articles-surprises, n.d.a.</v>
      </c>
      <c r="C5425">
        <v>1538226</v>
      </c>
      <c r="D5425">
        <v>17</v>
      </c>
    </row>
    <row r="5426" spans="1:4" x14ac:dyDescent="0.25">
      <c r="A5426" t="str">
        <f>T("   950629")</f>
        <v xml:space="preserve">   950629</v>
      </c>
      <c r="B5426" t="str">
        <f>T("   SKIS NAUTIQUES, AQUAPLANES ET AUTRE MATÉRIEL POUR LA PRATIQUE DES SPORTS NAUTIQUES (À L'EXCL. DES PLANCHES À VOILE) [01/01/1988-31/12/1994: SKIS NAUTIQUES, AQUAPLANES ET AUTRE MATERIEL POUR LES SPORTS NAUTIQUES, SAUF PLANCHES A VOILE]")</f>
        <v xml:space="preserve">   SKIS NAUTIQUES, AQUAPLANES ET AUTRE MATÉRIEL POUR LA PRATIQUE DES SPORTS NAUTIQUES (À L'EXCL. DES PLANCHES À VOILE) [01/01/1988-31/12/1994: SKIS NAUTIQUES, AQUAPLANES ET AUTRE MATERIEL POUR LES SPORTS NAUTIQUES, SAUF PLANCHES A VOILE]</v>
      </c>
      <c r="C5426">
        <v>74495</v>
      </c>
      <c r="D5426">
        <v>136</v>
      </c>
    </row>
    <row r="5427" spans="1:4" x14ac:dyDescent="0.25">
      <c r="A5427" t="str">
        <f>T("   950639")</f>
        <v xml:space="preserve">   950639</v>
      </c>
      <c r="B5427" t="str">
        <f>T("   Matériel de golf (sauf clubs et balles de golf)")</f>
        <v xml:space="preserve">   Matériel de golf (sauf clubs et balles de golf)</v>
      </c>
      <c r="C5427">
        <v>262384</v>
      </c>
      <c r="D5427">
        <v>10</v>
      </c>
    </row>
    <row r="5428" spans="1:4" x14ac:dyDescent="0.25">
      <c r="A5428" t="str">
        <f>T("   950640")</f>
        <v xml:space="preserve">   950640</v>
      </c>
      <c r="B5428" t="str">
        <f>T("   Articles et matériel pour le tennis de table")</f>
        <v xml:space="preserve">   Articles et matériel pour le tennis de table</v>
      </c>
      <c r="C5428">
        <v>98394</v>
      </c>
      <c r="D5428">
        <v>460</v>
      </c>
    </row>
    <row r="5429" spans="1:4" x14ac:dyDescent="0.25">
      <c r="A5429" t="str">
        <f>T("   950662")</f>
        <v xml:space="preserve">   950662</v>
      </c>
      <c r="B5429" t="str">
        <f>T("   Ballons et balles gonflables")</f>
        <v xml:space="preserve">   Ballons et balles gonflables</v>
      </c>
      <c r="C5429">
        <v>5497601</v>
      </c>
      <c r="D5429">
        <v>643</v>
      </c>
    </row>
    <row r="5430" spans="1:4" x14ac:dyDescent="0.25">
      <c r="A5430" t="str">
        <f>T("   950669")</f>
        <v xml:space="preserve">   950669</v>
      </c>
      <c r="B5430" t="str">
        <f>T("   Ballons et balles (autres que gonflables et autres que balles de golf ou de tennis de table)")</f>
        <v xml:space="preserve">   Ballons et balles (autres que gonflables et autres que balles de golf ou de tennis de table)</v>
      </c>
      <c r="C5430">
        <v>18086830</v>
      </c>
      <c r="D5430">
        <v>7771</v>
      </c>
    </row>
    <row r="5431" spans="1:4" x14ac:dyDescent="0.25">
      <c r="A5431" t="str">
        <f>T("   950691")</f>
        <v xml:space="preserve">   950691</v>
      </c>
      <c r="B5431" t="str">
        <f>T("   Articles et matériel pour la culture physique, la gymnastique ou l'athlétisme")</f>
        <v xml:space="preserve">   Articles et matériel pour la culture physique, la gymnastique ou l'athlétisme</v>
      </c>
      <c r="C5431">
        <v>2684431</v>
      </c>
      <c r="D5431">
        <v>1070</v>
      </c>
    </row>
    <row r="5432" spans="1:4" x14ac:dyDescent="0.25">
      <c r="A5432" t="str">
        <f>T("   950699")</f>
        <v xml:space="preserve">   950699</v>
      </c>
      <c r="B5432" t="str">
        <f>T("   Articles et matériel pour le sport et les jeux de plein air, n.d.a.; piscines et pataugeoires")</f>
        <v xml:space="preserve">   Articles et matériel pour le sport et les jeux de plein air, n.d.a.; piscines et pataugeoires</v>
      </c>
      <c r="C5432">
        <v>30325990</v>
      </c>
      <c r="D5432">
        <v>10759.6</v>
      </c>
    </row>
    <row r="5433" spans="1:4" x14ac:dyDescent="0.25">
      <c r="A5433" t="str">
        <f>T("   960310")</f>
        <v xml:space="preserve">   960310</v>
      </c>
      <c r="B5433" t="str">
        <f>T("   Balais et balayettes consistant en matières végétales en bottes liées")</f>
        <v xml:space="preserve">   Balais et balayettes consistant en matières végétales en bottes liées</v>
      </c>
      <c r="C5433">
        <v>27497245</v>
      </c>
      <c r="D5433">
        <v>34070</v>
      </c>
    </row>
    <row r="5434" spans="1:4" x14ac:dyDescent="0.25">
      <c r="A5434" t="str">
        <f>T("   960321")</f>
        <v xml:space="preserve">   960321</v>
      </c>
      <c r="B5434" t="str">
        <f>T("   Brosses à dent, y.c. brosses à prothèses dentaires")</f>
        <v xml:space="preserve">   Brosses à dent, y.c. brosses à prothèses dentaires</v>
      </c>
      <c r="C5434">
        <v>55943154</v>
      </c>
      <c r="D5434">
        <v>11328</v>
      </c>
    </row>
    <row r="5435" spans="1:4" x14ac:dyDescent="0.25">
      <c r="A5435" t="str">
        <f>T("   960329")</f>
        <v xml:space="preserve">   960329</v>
      </c>
      <c r="B5435"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5435">
        <v>50946306</v>
      </c>
      <c r="D5435">
        <v>19134</v>
      </c>
    </row>
    <row r="5436" spans="1:4" x14ac:dyDescent="0.25">
      <c r="A5436" t="str">
        <f>T("   960350")</f>
        <v xml:space="preserve">   960350</v>
      </c>
      <c r="B5436" t="str">
        <f>T("   Brosses constituant des parties de machines, d'appareils ou de véhicules")</f>
        <v xml:space="preserve">   Brosses constituant des parties de machines, d'appareils ou de véhicules</v>
      </c>
      <c r="C5436">
        <v>2877696</v>
      </c>
      <c r="D5436">
        <v>560</v>
      </c>
    </row>
    <row r="5437" spans="1:4" x14ac:dyDescent="0.25">
      <c r="A5437" t="str">
        <f>T("   960390")</f>
        <v xml:space="preserve">   960390</v>
      </c>
      <c r="B5437"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5437">
        <v>22932738</v>
      </c>
      <c r="D5437">
        <v>7835.73</v>
      </c>
    </row>
    <row r="5438" spans="1:4" x14ac:dyDescent="0.25">
      <c r="A5438" t="str">
        <f>T("   960629")</f>
        <v xml:space="preserve">   960629</v>
      </c>
      <c r="B5438" t="str">
        <f>T("   Boutons (sauf boutons en matières plastiques ou en métaux communs, non recouverts de matières textiles, boutons-pressions et boutons de manchette)")</f>
        <v xml:space="preserve">   Boutons (sauf boutons en matières plastiques ou en métaux communs, non recouverts de matières textiles, boutons-pressions et boutons de manchette)</v>
      </c>
      <c r="C5438">
        <v>1248292</v>
      </c>
      <c r="D5438">
        <v>4563</v>
      </c>
    </row>
    <row r="5439" spans="1:4" x14ac:dyDescent="0.25">
      <c r="A5439" t="str">
        <f>T("   960630")</f>
        <v xml:space="preserve">   960630</v>
      </c>
      <c r="B5439" t="str">
        <f>T("   Formes pour boutons et autres parties de boutons; ébauches de boutons")</f>
        <v xml:space="preserve">   Formes pour boutons et autres parties de boutons; ébauches de boutons</v>
      </c>
      <c r="C5439">
        <v>1053477</v>
      </c>
      <c r="D5439">
        <v>470</v>
      </c>
    </row>
    <row r="5440" spans="1:4" x14ac:dyDescent="0.25">
      <c r="A5440" t="str">
        <f>T("   960810")</f>
        <v xml:space="preserve">   960810</v>
      </c>
      <c r="B5440" t="str">
        <f>T("   Stylos et crayons à bille")</f>
        <v xml:space="preserve">   Stylos et crayons à bille</v>
      </c>
      <c r="C5440">
        <v>38202145</v>
      </c>
      <c r="D5440">
        <v>13725</v>
      </c>
    </row>
    <row r="5441" spans="1:4" x14ac:dyDescent="0.25">
      <c r="A5441" t="str">
        <f>T("   960820")</f>
        <v xml:space="preserve">   960820</v>
      </c>
      <c r="B5441" t="str">
        <f>T("   Stylos et marqueurs à mèche feutre ou à autres pointes poreuses")</f>
        <v xml:space="preserve">   Stylos et marqueurs à mèche feutre ou à autres pointes poreuses</v>
      </c>
      <c r="C5441">
        <v>15013405</v>
      </c>
      <c r="D5441">
        <v>32347</v>
      </c>
    </row>
    <row r="5442" spans="1:4" x14ac:dyDescent="0.25">
      <c r="A5442" t="str">
        <f>T("   960839")</f>
        <v xml:space="preserve">   960839</v>
      </c>
      <c r="B5442" t="str">
        <f>T("   Stylos à plume et autres stylos (autres qu'à dessiner à l'encre de Chine)")</f>
        <v xml:space="preserve">   Stylos à plume et autres stylos (autres qu'à dessiner à l'encre de Chine)</v>
      </c>
      <c r="C5442">
        <v>2887110</v>
      </c>
      <c r="D5442">
        <v>1463</v>
      </c>
    </row>
    <row r="5443" spans="1:4" x14ac:dyDescent="0.25">
      <c r="A5443" t="str">
        <f>T("   960840")</f>
        <v xml:space="preserve">   960840</v>
      </c>
      <c r="B5443" t="str">
        <f>T("   Porte-mine")</f>
        <v xml:space="preserve">   Porte-mine</v>
      </c>
      <c r="C5443">
        <v>4164291</v>
      </c>
      <c r="D5443">
        <v>235</v>
      </c>
    </row>
    <row r="5444" spans="1:4" x14ac:dyDescent="0.25">
      <c r="A5444" t="str">
        <f>T("   960899")</f>
        <v xml:space="preserve">   960899</v>
      </c>
      <c r="B5444"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5444">
        <v>8984957</v>
      </c>
      <c r="D5444">
        <v>1029</v>
      </c>
    </row>
    <row r="5445" spans="1:4" x14ac:dyDescent="0.25">
      <c r="A5445" t="str">
        <f>T("   960910")</f>
        <v xml:space="preserve">   960910</v>
      </c>
      <c r="B5445" t="str">
        <f>T("   Crayons à gaine")</f>
        <v xml:space="preserve">   Crayons à gaine</v>
      </c>
      <c r="C5445">
        <v>2568011</v>
      </c>
      <c r="D5445">
        <v>841</v>
      </c>
    </row>
    <row r="5446" spans="1:4" x14ac:dyDescent="0.25">
      <c r="A5446" t="str">
        <f>T("   960990")</f>
        <v xml:space="preserve">   960990</v>
      </c>
      <c r="B5446" t="str">
        <f>T("   Crayons (sauf crayons à gaine), pastels, fusains, craies à écrire ou à dessiner et craies de tailleurs")</f>
        <v xml:space="preserve">   Crayons (sauf crayons à gaine), pastels, fusains, craies à écrire ou à dessiner et craies de tailleurs</v>
      </c>
      <c r="C5446">
        <v>103233466</v>
      </c>
      <c r="D5446">
        <v>451301</v>
      </c>
    </row>
    <row r="5447" spans="1:4" x14ac:dyDescent="0.25">
      <c r="A5447" t="str">
        <f>T("   961000")</f>
        <v xml:space="preserve">   961000</v>
      </c>
      <c r="B5447" t="str">
        <f>T("   Ardoises et tableaux pour l'écriture ou le dessin, même encadrés")</f>
        <v xml:space="preserve">   Ardoises et tableaux pour l'écriture ou le dessin, même encadrés</v>
      </c>
      <c r="C5447">
        <v>3629052</v>
      </c>
      <c r="D5447">
        <v>1356</v>
      </c>
    </row>
    <row r="5448" spans="1:4" x14ac:dyDescent="0.25">
      <c r="A5448" t="str">
        <f>T("   961210")</f>
        <v xml:space="preserve">   961210</v>
      </c>
      <c r="B5448" t="str">
        <f>T("   Rubans encreurs pour machines à écrire et rubans encreurs simil., encrés ou autrement préparés en vue de laisser des empreintes, même montés sur bobines ou en cartouches")</f>
        <v xml:space="preserve">   Rubans encreurs pour machines à écrire et rubans encreurs simil., encrés ou autrement préparés en vue de laisser des empreintes, même montés sur bobines ou en cartouches</v>
      </c>
      <c r="C5448">
        <v>12344511</v>
      </c>
      <c r="D5448">
        <v>1445</v>
      </c>
    </row>
    <row r="5449" spans="1:4" x14ac:dyDescent="0.25">
      <c r="A5449" t="str">
        <f>T("   961220")</f>
        <v xml:space="preserve">   961220</v>
      </c>
      <c r="B5449" t="str">
        <f>T("   Tampons encreurs, même imprégnés, avec ou sans boîte")</f>
        <v xml:space="preserve">   Tampons encreurs, même imprégnés, avec ou sans boîte</v>
      </c>
      <c r="C5449">
        <v>546415</v>
      </c>
      <c r="D5449">
        <v>9</v>
      </c>
    </row>
    <row r="5450" spans="1:4" x14ac:dyDescent="0.25">
      <c r="A5450" t="str">
        <f>T("   961310")</f>
        <v xml:space="preserve">   961310</v>
      </c>
      <c r="B5450" t="str">
        <f>T("   Briquets de poche, à gaz (non rechargeables)")</f>
        <v xml:space="preserve">   Briquets de poche, à gaz (non rechargeables)</v>
      </c>
      <c r="C5450">
        <v>135784</v>
      </c>
      <c r="D5450">
        <v>270</v>
      </c>
    </row>
    <row r="5451" spans="1:4" x14ac:dyDescent="0.25">
      <c r="A5451" t="str">
        <f>T("   961380")</f>
        <v xml:space="preserve">   961380</v>
      </c>
      <c r="B5451" t="str">
        <f>T("   Briquets et allumeurs (à l'excl. des briquets de poche à gaz, des mèches et cordeaux détonants pour poudres propulsives et explosifs)")</f>
        <v xml:space="preserve">   Briquets et allumeurs (à l'excl. des briquets de poche à gaz, des mèches et cordeaux détonants pour poudres propulsives et explosifs)</v>
      </c>
      <c r="C5451">
        <v>411942</v>
      </c>
      <c r="D5451">
        <v>53</v>
      </c>
    </row>
    <row r="5452" spans="1:4" x14ac:dyDescent="0.25">
      <c r="A5452" t="str">
        <f>T("   961511")</f>
        <v xml:space="preserve">   961511</v>
      </c>
      <c r="B5452" t="str">
        <f>T("   PEIGNÉS À COIFFER, PEIGNÉS DE COIFFURE, BARRETTES ET ARTICLES SIMIL., EN CAOUTCHOUC DURCI OU EN MATIÈRES PLASTIQUES")</f>
        <v xml:space="preserve">   PEIGNÉS À COIFFER, PEIGNÉS DE COIFFURE, BARRETTES ET ARTICLES SIMIL., EN CAOUTCHOUC DURCI OU EN MATIÈRES PLASTIQUES</v>
      </c>
      <c r="C5452">
        <v>467043</v>
      </c>
      <c r="D5452">
        <v>7</v>
      </c>
    </row>
    <row r="5453" spans="1:4" x14ac:dyDescent="0.25">
      <c r="A5453" t="str">
        <f>T("   961519")</f>
        <v xml:space="preserve">   961519</v>
      </c>
      <c r="B5453" t="str">
        <f>T("   PEIGNÉS À COIFFER, PEIGNÉS DE COIFFURE, BARRETTES ET ARTICLES SIMIL., EN MATIÈRES (AUTRES QUE CAOUTCHOUC OU MATIÈRES PLASTIQUES)")</f>
        <v xml:space="preserve">   PEIGNÉS À COIFFER, PEIGNÉS DE COIFFURE, BARRETTES ET ARTICLES SIMIL., EN MATIÈRES (AUTRES QUE CAOUTCHOUC OU MATIÈRES PLASTIQUES)</v>
      </c>
      <c r="C5453">
        <v>8903346</v>
      </c>
      <c r="D5453">
        <v>572</v>
      </c>
    </row>
    <row r="5454" spans="1:4" x14ac:dyDescent="0.25">
      <c r="A5454" t="str">
        <f>T("   970300")</f>
        <v xml:space="preserve">   970300</v>
      </c>
      <c r="B5454" t="str">
        <f>T("   Productions originales de l'art statuaire ou de la sculpture, en toutes matières")</f>
        <v xml:space="preserve">   Productions originales de l'art statuaire ou de la sculpture, en toutes matières</v>
      </c>
      <c r="C5454">
        <v>474757</v>
      </c>
      <c r="D5454">
        <v>230</v>
      </c>
    </row>
    <row r="5455" spans="1:4" x14ac:dyDescent="0.25">
      <c r="A5455" t="str">
        <f>T("GA")</f>
        <v>GA</v>
      </c>
      <c r="B5455" t="str">
        <f>T("Gabon")</f>
        <v>Gabon</v>
      </c>
    </row>
    <row r="5456" spans="1:4" x14ac:dyDescent="0.25">
      <c r="A5456" t="str">
        <f>T("   ZZ_Total_Produit_SH6")</f>
        <v xml:space="preserve">   ZZ_Total_Produit_SH6</v>
      </c>
      <c r="B5456" t="str">
        <f>T("   ZZ_Total_Produit_SH6")</f>
        <v xml:space="preserve">   ZZ_Total_Produit_SH6</v>
      </c>
      <c r="C5456">
        <v>42668190</v>
      </c>
      <c r="D5456">
        <v>44184</v>
      </c>
    </row>
    <row r="5457" spans="1:4" x14ac:dyDescent="0.25">
      <c r="A5457" t="str">
        <f>T("   321519")</f>
        <v xml:space="preserve">   321519</v>
      </c>
      <c r="B5457" t="str">
        <f>T("   Encres d'imprimerie, même concentrées ou sous formes solides (à l'excl. des encres noires)")</f>
        <v xml:space="preserve">   Encres d'imprimerie, même concentrées ou sous formes solides (à l'excl. des encres noires)</v>
      </c>
      <c r="C5457">
        <v>355670</v>
      </c>
      <c r="D5457">
        <v>78</v>
      </c>
    </row>
    <row r="5458" spans="1:4" x14ac:dyDescent="0.25">
      <c r="A5458" t="str">
        <f>T("   330499")</f>
        <v xml:space="preserve">   330499</v>
      </c>
      <c r="B5458" t="s">
        <v>97</v>
      </c>
      <c r="C5458">
        <v>300000</v>
      </c>
      <c r="D5458">
        <v>300</v>
      </c>
    </row>
    <row r="5459" spans="1:4" x14ac:dyDescent="0.25">
      <c r="A5459" t="str">
        <f>T("   401220")</f>
        <v xml:space="preserve">   401220</v>
      </c>
      <c r="B5459" t="str">
        <f>T("   Pneumatiques usagés, en caoutchouc")</f>
        <v xml:space="preserve">   Pneumatiques usagés, en caoutchouc</v>
      </c>
      <c r="C5459">
        <v>600000</v>
      </c>
      <c r="D5459">
        <v>1500</v>
      </c>
    </row>
    <row r="5460" spans="1:4" x14ac:dyDescent="0.25">
      <c r="A5460" t="str">
        <f>T("   440799")</f>
        <v xml:space="preserve">   440799</v>
      </c>
      <c r="B5460" t="s">
        <v>166</v>
      </c>
      <c r="C5460">
        <v>2223825</v>
      </c>
      <c r="D5460">
        <v>15850</v>
      </c>
    </row>
    <row r="5461" spans="1:4" x14ac:dyDescent="0.25">
      <c r="A5461" t="str">
        <f>T("   620590")</f>
        <v xml:space="preserve">   620590</v>
      </c>
      <c r="B546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5461">
        <v>4600000</v>
      </c>
      <c r="D5461">
        <v>1140</v>
      </c>
    </row>
    <row r="5462" spans="1:4" x14ac:dyDescent="0.25">
      <c r="A5462" t="str">
        <f>T("   630399")</f>
        <v xml:space="preserve">   630399</v>
      </c>
      <c r="B5462"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5462">
        <v>200000</v>
      </c>
      <c r="D5462">
        <v>547</v>
      </c>
    </row>
    <row r="5463" spans="1:4" x14ac:dyDescent="0.25">
      <c r="A5463" t="str">
        <f>T("   630900")</f>
        <v xml:space="preserve">   630900</v>
      </c>
      <c r="B5463" t="s">
        <v>273</v>
      </c>
      <c r="C5463">
        <v>5500225</v>
      </c>
      <c r="D5463">
        <v>7500</v>
      </c>
    </row>
    <row r="5464" spans="1:4" x14ac:dyDescent="0.25">
      <c r="A5464" t="str">
        <f>T("   732394")</f>
        <v xml:space="preserve">   732394</v>
      </c>
      <c r="B5464" t="s">
        <v>362</v>
      </c>
      <c r="C5464">
        <v>3460000</v>
      </c>
      <c r="D5464">
        <v>1150</v>
      </c>
    </row>
    <row r="5465" spans="1:4" x14ac:dyDescent="0.25">
      <c r="A5465" t="str">
        <f>T("   732399")</f>
        <v xml:space="preserve">   732399</v>
      </c>
      <c r="B5465" t="s">
        <v>363</v>
      </c>
      <c r="C5465">
        <v>400000</v>
      </c>
      <c r="D5465">
        <v>1094</v>
      </c>
    </row>
    <row r="5466" spans="1:4" x14ac:dyDescent="0.25">
      <c r="A5466" t="str">
        <f>T("   843240")</f>
        <v xml:space="preserve">   843240</v>
      </c>
      <c r="B5466" t="str">
        <f>T("   ÉPANDEURS DE FUMIER ET DISTRIBUTEURS D'ENGRAIS POUR L'AGRICULTURE, LA SYLVICULTURE OU L'HORTICULTURE")</f>
        <v xml:space="preserve">   ÉPANDEURS DE FUMIER ET DISTRIBUTEURS D'ENGRAIS POUR L'AGRICULTURE, LA SYLVICULTURE OU L'HORTICULTURE</v>
      </c>
      <c r="C5466">
        <v>412599</v>
      </c>
      <c r="D5466">
        <v>477</v>
      </c>
    </row>
    <row r="5467" spans="1:4" x14ac:dyDescent="0.25">
      <c r="A5467" t="str">
        <f>T("   850220")</f>
        <v xml:space="preserve">   850220</v>
      </c>
      <c r="B5467" t="s">
        <v>446</v>
      </c>
      <c r="C5467">
        <v>859400</v>
      </c>
      <c r="D5467">
        <v>500</v>
      </c>
    </row>
    <row r="5468" spans="1:4" x14ac:dyDescent="0.25">
      <c r="A5468" t="str">
        <f>T("   870322")</f>
        <v xml:space="preserve">   870322</v>
      </c>
      <c r="B5468" t="s">
        <v>472</v>
      </c>
      <c r="C5468">
        <v>4232548</v>
      </c>
      <c r="D5468">
        <v>1200</v>
      </c>
    </row>
    <row r="5469" spans="1:4" x14ac:dyDescent="0.25">
      <c r="A5469" t="str">
        <f>T("   870323")</f>
        <v xml:space="preserve">   870323</v>
      </c>
      <c r="B5469" t="s">
        <v>473</v>
      </c>
      <c r="C5469">
        <v>1200000</v>
      </c>
      <c r="D5469">
        <v>810</v>
      </c>
    </row>
    <row r="5470" spans="1:4" x14ac:dyDescent="0.25">
      <c r="A5470" t="str">
        <f>T("   870332")</f>
        <v xml:space="preserve">   870332</v>
      </c>
      <c r="B5470" t="s">
        <v>476</v>
      </c>
      <c r="C5470">
        <v>1200000</v>
      </c>
      <c r="D5470">
        <v>2200</v>
      </c>
    </row>
    <row r="5471" spans="1:4" x14ac:dyDescent="0.25">
      <c r="A5471" t="str">
        <f>T("   870421")</f>
        <v xml:space="preserve">   870421</v>
      </c>
      <c r="B5471" t="s">
        <v>478</v>
      </c>
      <c r="C5471">
        <v>2470821</v>
      </c>
      <c r="D5471">
        <v>2735</v>
      </c>
    </row>
    <row r="5472" spans="1:4" x14ac:dyDescent="0.25">
      <c r="A5472" t="str">
        <f>T("   870891")</f>
        <v xml:space="preserve">   870891</v>
      </c>
      <c r="B5472"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5472">
        <v>87500</v>
      </c>
      <c r="D5472">
        <v>250</v>
      </c>
    </row>
    <row r="5473" spans="1:4" x14ac:dyDescent="0.25">
      <c r="A5473" t="str">
        <f>T("   880190")</f>
        <v xml:space="preserve">   880190</v>
      </c>
      <c r="B5473" t="str">
        <f>T("   Ballons et dirigeables et autres véhicules aériens (non conçus pour la propulsion à moteur) (sauf planeurs et ailes volantes, cerf-volants pour enfants et ballonnets pour enfants)")</f>
        <v xml:space="preserve">   Ballons et dirigeables et autres véhicules aériens (non conçus pour la propulsion à moteur) (sauf planeurs et ailes volantes, cerf-volants pour enfants et ballonnets pour enfants)</v>
      </c>
      <c r="C5473">
        <v>765602</v>
      </c>
      <c r="D5473">
        <v>90</v>
      </c>
    </row>
    <row r="5474" spans="1:4" x14ac:dyDescent="0.25">
      <c r="A5474" t="str">
        <f>T("   940350")</f>
        <v xml:space="preserve">   940350</v>
      </c>
      <c r="B5474" t="str">
        <f>T("   Meubles pour chambres à coucher, en bois (sauf sièges)")</f>
        <v xml:space="preserve">   Meubles pour chambres à coucher, en bois (sauf sièges)</v>
      </c>
      <c r="C5474">
        <v>900000</v>
      </c>
      <c r="D5474">
        <v>600</v>
      </c>
    </row>
    <row r="5475" spans="1:4" x14ac:dyDescent="0.25">
      <c r="A5475" t="str">
        <f>T("   940360")</f>
        <v xml:space="preserve">   940360</v>
      </c>
      <c r="B5475" t="str">
        <f>T("   Meubles en bois (autres que pour bureaux, cuisines ou chambres à coucher et autres que sièges)")</f>
        <v xml:space="preserve">   Meubles en bois (autres que pour bureaux, cuisines ou chambres à coucher et autres que sièges)</v>
      </c>
      <c r="C5475">
        <v>10000000</v>
      </c>
      <c r="D5475">
        <v>2200</v>
      </c>
    </row>
    <row r="5476" spans="1:4" x14ac:dyDescent="0.25">
      <c r="A5476" t="str">
        <f>T("   940380")</f>
        <v xml:space="preserve">   940380</v>
      </c>
      <c r="B5476" t="str">
        <f>T("   Meubles en rotin, osier, bambou ou autres matières (sauf métal, bois et matières plastiques)")</f>
        <v xml:space="preserve">   Meubles en rotin, osier, bambou ou autres matières (sauf métal, bois et matières plastiques)</v>
      </c>
      <c r="C5476">
        <v>2900000</v>
      </c>
      <c r="D5476">
        <v>3963</v>
      </c>
    </row>
    <row r="5477" spans="1:4" x14ac:dyDescent="0.25">
      <c r="A5477" t="str">
        <f>T("GB")</f>
        <v>GB</v>
      </c>
      <c r="B5477" t="str">
        <f>T("Royaume-Uni")</f>
        <v>Royaume-Uni</v>
      </c>
    </row>
    <row r="5478" spans="1:4" x14ac:dyDescent="0.25">
      <c r="A5478" t="str">
        <f>T("   ZZ_Total_Produit_SH6")</f>
        <v xml:space="preserve">   ZZ_Total_Produit_SH6</v>
      </c>
      <c r="B5478" t="str">
        <f>T("   ZZ_Total_Produit_SH6")</f>
        <v xml:space="preserve">   ZZ_Total_Produit_SH6</v>
      </c>
      <c r="C5478">
        <v>51959449534.269997</v>
      </c>
      <c r="D5478">
        <v>119604439.2</v>
      </c>
    </row>
    <row r="5479" spans="1:4" x14ac:dyDescent="0.25">
      <c r="A5479" t="str">
        <f>T("   020230")</f>
        <v xml:space="preserve">   020230</v>
      </c>
      <c r="B5479" t="str">
        <f>T("   Viandes désossées de bovins, congelées")</f>
        <v xml:space="preserve">   Viandes désossées de bovins, congelées</v>
      </c>
      <c r="C5479">
        <v>35354874</v>
      </c>
      <c r="D5479">
        <v>56840</v>
      </c>
    </row>
    <row r="5480" spans="1:4" x14ac:dyDescent="0.25">
      <c r="A5480" t="str">
        <f>T("   020712")</f>
        <v xml:space="preserve">   020712</v>
      </c>
      <c r="B5480" t="str">
        <f>T("   COQS ET POULES [DES ESPÈCES DOMESTIQUES], NON-DÉCOUPÉS EN MORCEAUX, CONGELÉS")</f>
        <v xml:space="preserve">   COQS ET POULES [DES ESPÈCES DOMESTIQUES], NON-DÉCOUPÉS EN MORCEAUX, CONGELÉS</v>
      </c>
      <c r="C5480">
        <v>75895884</v>
      </c>
      <c r="D5480">
        <v>124948</v>
      </c>
    </row>
    <row r="5481" spans="1:4" x14ac:dyDescent="0.25">
      <c r="A5481" t="str">
        <f>T("   020714")</f>
        <v xml:space="preserve">   020714</v>
      </c>
      <c r="B5481" t="str">
        <f>T("   Morceaux et abats comestibles de coqs et de poules [des espèces domestiques], congelés")</f>
        <v xml:space="preserve">   Morceaux et abats comestibles de coqs et de poules [des espèces domestiques], congelés</v>
      </c>
      <c r="C5481">
        <v>6329073515</v>
      </c>
      <c r="D5481">
        <v>10516210</v>
      </c>
    </row>
    <row r="5482" spans="1:4" x14ac:dyDescent="0.25">
      <c r="A5482" t="str">
        <f>T("   020727")</f>
        <v xml:space="preserve">   020727</v>
      </c>
      <c r="B5482" t="str">
        <f>T("   Morceaux et abats comestibles de dindes et dindons [des espèces domestiques], congelés")</f>
        <v xml:space="preserve">   Morceaux et abats comestibles de dindes et dindons [des espèces domestiques], congelés</v>
      </c>
      <c r="C5482">
        <v>430941403</v>
      </c>
      <c r="D5482">
        <v>707060</v>
      </c>
    </row>
    <row r="5483" spans="1:4" x14ac:dyDescent="0.25">
      <c r="A5483" t="str">
        <f>T("   030264")</f>
        <v xml:space="preserve">   030264</v>
      </c>
      <c r="B5483" t="str">
        <f>T("   Maquereaux [Scomber scombrus, Scomber australasicus, Scomber japonicus], frais ou réfrigérés")</f>
        <v xml:space="preserve">   Maquereaux [Scomber scombrus, Scomber australasicus, Scomber japonicus], frais ou réfrigérés</v>
      </c>
      <c r="C5483">
        <v>35000714</v>
      </c>
      <c r="D5483">
        <v>210000</v>
      </c>
    </row>
    <row r="5484" spans="1:4" x14ac:dyDescent="0.25">
      <c r="A5484" t="str">
        <f>T("   030329")</f>
        <v xml:space="preserve">   030329</v>
      </c>
      <c r="B5484" t="str">
        <f>T("   Salmonidés, congelés (à l'excl. des saumons du Pacifique, de l'Atlantique et du Danube ainsi que des truites)")</f>
        <v xml:space="preserve">   Salmonidés, congelés (à l'excl. des saumons du Pacifique, de l'Atlantique et du Danube ainsi que des truites)</v>
      </c>
      <c r="C5484">
        <v>28176106</v>
      </c>
      <c r="D5484">
        <v>153000</v>
      </c>
    </row>
    <row r="5485" spans="1:4" x14ac:dyDescent="0.25">
      <c r="A5485" t="str">
        <f>T("   030379")</f>
        <v xml:space="preserve">   030379</v>
      </c>
      <c r="B5485" t="s">
        <v>17</v>
      </c>
      <c r="C5485">
        <v>701681671</v>
      </c>
      <c r="D5485">
        <v>3083966</v>
      </c>
    </row>
    <row r="5486" spans="1:4" x14ac:dyDescent="0.25">
      <c r="A5486" t="str">
        <f>T("   040210")</f>
        <v xml:space="preserve">   040210</v>
      </c>
      <c r="B5486"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5486">
        <v>14075258</v>
      </c>
      <c r="D5486">
        <v>15778</v>
      </c>
    </row>
    <row r="5487" spans="1:4" x14ac:dyDescent="0.25">
      <c r="A5487" t="str">
        <f>T("   050400")</f>
        <v xml:space="preserve">   050400</v>
      </c>
      <c r="B5487"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5487">
        <v>17978552</v>
      </c>
      <c r="D5487">
        <v>28904</v>
      </c>
    </row>
    <row r="5488" spans="1:4" x14ac:dyDescent="0.25">
      <c r="A5488" t="str">
        <f>T("   070190")</f>
        <v xml:space="preserve">   070190</v>
      </c>
      <c r="B5488" t="str">
        <f>T("   Pommes de terre, à l'état frais ou réfrigéré (à l'excl. des pommes de terre de semence)")</f>
        <v xml:space="preserve">   Pommes de terre, à l'état frais ou réfrigéré (à l'excl. des pommes de terre de semence)</v>
      </c>
      <c r="C5488">
        <v>10972734</v>
      </c>
      <c r="D5488">
        <v>70250</v>
      </c>
    </row>
    <row r="5489" spans="1:4" x14ac:dyDescent="0.25">
      <c r="A5489" t="str">
        <f>T("   070310")</f>
        <v xml:space="preserve">   070310</v>
      </c>
      <c r="B5489" t="str">
        <f>T("   Oignons et échalotes, à l'état frais ou réfrigéré")</f>
        <v xml:space="preserve">   Oignons et échalotes, à l'état frais ou réfrigéré</v>
      </c>
      <c r="C5489">
        <v>1312504</v>
      </c>
      <c r="D5489">
        <v>8750</v>
      </c>
    </row>
    <row r="5490" spans="1:4" x14ac:dyDescent="0.25">
      <c r="A5490" t="str">
        <f>T("   071340")</f>
        <v xml:space="preserve">   071340</v>
      </c>
      <c r="B5490" t="str">
        <f>T("   Lentilles, séchées, écossées, même décortiquées ou cassées")</f>
        <v xml:space="preserve">   Lentilles, séchées, écossées, même décortiquées ou cassées</v>
      </c>
      <c r="C5490">
        <v>2638670</v>
      </c>
      <c r="D5490">
        <v>3627</v>
      </c>
    </row>
    <row r="5491" spans="1:4" x14ac:dyDescent="0.25">
      <c r="A5491" t="str">
        <f>T("   071390")</f>
        <v xml:space="preserve">   071390</v>
      </c>
      <c r="B5491" t="str">
        <f>T("   Légumes à cosse secs, écossés, même décortiqués ou cassés (à l'excl. des pois, des pois chiches, des haricots, des lentilles, des fèves et des féveroles)")</f>
        <v xml:space="preserve">   Légumes à cosse secs, écossés, même décortiqués ou cassés (à l'excl. des pois, des pois chiches, des haricots, des lentilles, des fèves et des féveroles)</v>
      </c>
      <c r="C5491">
        <v>5397048</v>
      </c>
      <c r="D5491">
        <v>6234</v>
      </c>
    </row>
    <row r="5492" spans="1:4" x14ac:dyDescent="0.25">
      <c r="A5492" t="str">
        <f>T("   080610")</f>
        <v xml:space="preserve">   080610</v>
      </c>
      <c r="B5492" t="str">
        <f>T("   Raisins, frais")</f>
        <v xml:space="preserve">   Raisins, frais</v>
      </c>
      <c r="C5492">
        <v>7000405</v>
      </c>
      <c r="D5492">
        <v>18792</v>
      </c>
    </row>
    <row r="5493" spans="1:4" x14ac:dyDescent="0.25">
      <c r="A5493" t="str">
        <f>T("   080810")</f>
        <v xml:space="preserve">   080810</v>
      </c>
      <c r="B5493" t="str">
        <f>T("   Pommes, fraîches")</f>
        <v xml:space="preserve">   Pommes, fraîches</v>
      </c>
      <c r="C5493">
        <v>21001261</v>
      </c>
      <c r="D5493">
        <v>66258</v>
      </c>
    </row>
    <row r="5494" spans="1:4" x14ac:dyDescent="0.25">
      <c r="A5494" t="str">
        <f>T("   090210")</f>
        <v xml:space="preserve">   090210</v>
      </c>
      <c r="B5494" t="str">
        <f>T("   Thé vert [thé non fermenté], présenté en emballages immédiats d'un contenu &lt;= 3 kg")</f>
        <v xml:space="preserve">   Thé vert [thé non fermenté], présenté en emballages immédiats d'un contenu &lt;= 3 kg</v>
      </c>
      <c r="C5494">
        <v>556349</v>
      </c>
      <c r="D5494">
        <v>334</v>
      </c>
    </row>
    <row r="5495" spans="1:4" x14ac:dyDescent="0.25">
      <c r="A5495" t="str">
        <f>T("   090240")</f>
        <v xml:space="preserve">   090240</v>
      </c>
      <c r="B5495" t="s">
        <v>25</v>
      </c>
      <c r="C5495">
        <v>2146092</v>
      </c>
      <c r="D5495">
        <v>2479</v>
      </c>
    </row>
    <row r="5496" spans="1:4" x14ac:dyDescent="0.25">
      <c r="A5496" t="str">
        <f>T("   091091")</f>
        <v xml:space="preserve">   091091</v>
      </c>
      <c r="B5496" t="str">
        <f>T("   Mélanges d'épices")</f>
        <v xml:space="preserve">   Mélanges d'épices</v>
      </c>
      <c r="C5496">
        <v>10666</v>
      </c>
      <c r="D5496">
        <v>8</v>
      </c>
    </row>
    <row r="5497" spans="1:4" x14ac:dyDescent="0.25">
      <c r="A5497" t="str">
        <f>T("   091099")</f>
        <v xml:space="preserve">   091099</v>
      </c>
      <c r="B5497" t="s">
        <v>26</v>
      </c>
      <c r="C5497">
        <v>6917</v>
      </c>
      <c r="D5497">
        <v>5</v>
      </c>
    </row>
    <row r="5498" spans="1:4" x14ac:dyDescent="0.25">
      <c r="A5498" t="str">
        <f>T("   100190")</f>
        <v xml:space="preserve">   100190</v>
      </c>
      <c r="B5498" t="str">
        <f>T("   Froment [blé] et méteil (à l'excl. du froment [blé] dur)")</f>
        <v xml:space="preserve">   Froment [blé] et méteil (à l'excl. du froment [blé] dur)</v>
      </c>
      <c r="C5498">
        <v>13527000</v>
      </c>
      <c r="D5498">
        <v>90180</v>
      </c>
    </row>
    <row r="5499" spans="1:4" x14ac:dyDescent="0.25">
      <c r="A5499" t="str">
        <f>T("   100890")</f>
        <v xml:space="preserve">   100890</v>
      </c>
      <c r="B5499" t="str">
        <f>T("   Céréales (à l'excl. du froment [blé], du méteil, du seigle, de l'orge, de l'avoine, du maïs, du riz, du sorgho à grains, du sarrasin, du millet et de l'alpiste)")</f>
        <v xml:space="preserve">   Céréales (à l'excl. du froment [blé], du méteil, du seigle, de l'orge, de l'avoine, du maïs, du riz, du sorgho à grains, du sarrasin, du millet et de l'alpiste)</v>
      </c>
      <c r="C5499">
        <v>11734</v>
      </c>
      <c r="D5499">
        <v>50</v>
      </c>
    </row>
    <row r="5500" spans="1:4" x14ac:dyDescent="0.25">
      <c r="A5500" t="str">
        <f>T("   110100")</f>
        <v xml:space="preserve">   110100</v>
      </c>
      <c r="B5500" t="str">
        <f>T("   Farines de froment [blé] ou de méteil")</f>
        <v xml:space="preserve">   Farines de froment [blé] ou de méteil</v>
      </c>
      <c r="C5500">
        <v>35401569.270000003</v>
      </c>
      <c r="D5500">
        <v>135384</v>
      </c>
    </row>
    <row r="5501" spans="1:4" x14ac:dyDescent="0.25">
      <c r="A5501" t="str">
        <f>T("   151550")</f>
        <v xml:space="preserve">   151550</v>
      </c>
      <c r="B5501" t="str">
        <f>T("   Huile de sésame et ses fractions, même raffinées, mais non chimiquement modifiées")</f>
        <v xml:space="preserve">   Huile de sésame et ses fractions, même raffinées, mais non chimiquement modifiées</v>
      </c>
      <c r="C5501">
        <v>54584</v>
      </c>
      <c r="D5501">
        <v>75</v>
      </c>
    </row>
    <row r="5502" spans="1:4" x14ac:dyDescent="0.25">
      <c r="A5502" t="str">
        <f>T("   160100")</f>
        <v xml:space="preserve">   160100</v>
      </c>
      <c r="B5502" t="str">
        <f>T("   Saucisses, saucissons et produits simil., de viande, d'abats ou de sang; préparations alimentaires à base de ces produits")</f>
        <v xml:space="preserve">   Saucisses, saucissons et produits simil., de viande, d'abats ou de sang; préparations alimentaires à base de ces produits</v>
      </c>
      <c r="C5502">
        <v>47347193</v>
      </c>
      <c r="D5502">
        <v>77994</v>
      </c>
    </row>
    <row r="5503" spans="1:4" x14ac:dyDescent="0.25">
      <c r="A5503" t="str">
        <f>T("   160413")</f>
        <v xml:space="preserve">   160413</v>
      </c>
      <c r="B5503"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5503">
        <v>261365</v>
      </c>
      <c r="D5503">
        <v>452</v>
      </c>
    </row>
    <row r="5504" spans="1:4" x14ac:dyDescent="0.25">
      <c r="A5504" t="str">
        <f>T("   160420")</f>
        <v xml:space="preserve">   160420</v>
      </c>
      <c r="B5504" t="str">
        <f>T("   Préparations et conserves de poissons (à l'excl. des préparations et conserves de poissons entiers ou en morceaux)")</f>
        <v xml:space="preserve">   Préparations et conserves de poissons (à l'excl. des préparations et conserves de poissons entiers ou en morceaux)</v>
      </c>
      <c r="C5504">
        <v>51821</v>
      </c>
      <c r="D5504">
        <v>46</v>
      </c>
    </row>
    <row r="5505" spans="1:4" x14ac:dyDescent="0.25">
      <c r="A5505" t="str">
        <f>T("   180690")</f>
        <v xml:space="preserve">   180690</v>
      </c>
      <c r="B5505"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5505">
        <v>14136057</v>
      </c>
      <c r="D5505">
        <v>16326</v>
      </c>
    </row>
    <row r="5506" spans="1:4" x14ac:dyDescent="0.25">
      <c r="A5506" t="str">
        <f>T("   190190")</f>
        <v xml:space="preserve">   190190</v>
      </c>
      <c r="B5506" t="s">
        <v>50</v>
      </c>
      <c r="C5506">
        <v>995450</v>
      </c>
      <c r="D5506">
        <v>1163</v>
      </c>
    </row>
    <row r="5507" spans="1:4" x14ac:dyDescent="0.25">
      <c r="A5507" t="str">
        <f>T("   190219")</f>
        <v xml:space="preserve">   190219</v>
      </c>
      <c r="B5507" t="str">
        <f>T("   PÂTES ALIMENTAIRES NON-CUITES NI FARCIES NI AUTREMENT PRÉPARÉES, NE CONTENANT PAS D'OEUFS")</f>
        <v xml:space="preserve">   PÂTES ALIMENTAIRES NON-CUITES NI FARCIES NI AUTREMENT PRÉPARÉES, NE CONTENANT PAS D'OEUFS</v>
      </c>
      <c r="C5507">
        <v>72134</v>
      </c>
      <c r="D5507">
        <v>90</v>
      </c>
    </row>
    <row r="5508" spans="1:4" x14ac:dyDescent="0.25">
      <c r="A5508" t="str">
        <f>T("   190410")</f>
        <v xml:space="preserve">   190410</v>
      </c>
      <c r="B5508" t="str">
        <f>T("   PRODUITS À BASE DE CÉRÉALES OBTENUS PAR SOUFFLAGE OU GRILLAGE [CORN FLAKES, P.EX.]")</f>
        <v xml:space="preserve">   PRODUITS À BASE DE CÉRÉALES OBTENUS PAR SOUFFLAGE OU GRILLAGE [CORN FLAKES, P.EX.]</v>
      </c>
      <c r="C5508">
        <v>10514549</v>
      </c>
      <c r="D5508">
        <v>14451</v>
      </c>
    </row>
    <row r="5509" spans="1:4" x14ac:dyDescent="0.25">
      <c r="A5509" t="str">
        <f>T("   190531")</f>
        <v xml:space="preserve">   190531</v>
      </c>
      <c r="B5509" t="str">
        <f>T("   Biscuits additionnés d'édulcorants")</f>
        <v xml:space="preserve">   Biscuits additionnés d'édulcorants</v>
      </c>
      <c r="C5509">
        <v>1425831</v>
      </c>
      <c r="D5509">
        <v>855</v>
      </c>
    </row>
    <row r="5510" spans="1:4" x14ac:dyDescent="0.25">
      <c r="A5510" t="str">
        <f>T("   190590")</f>
        <v xml:space="preserve">   190590</v>
      </c>
      <c r="B5510" t="s">
        <v>52</v>
      </c>
      <c r="C5510">
        <v>50534</v>
      </c>
      <c r="D5510">
        <v>55</v>
      </c>
    </row>
    <row r="5511" spans="1:4" x14ac:dyDescent="0.25">
      <c r="A5511" t="str">
        <f>T("   200919")</f>
        <v xml:space="preserve">   200919</v>
      </c>
      <c r="B5511"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5511">
        <v>55609</v>
      </c>
      <c r="D5511">
        <v>35</v>
      </c>
    </row>
    <row r="5512" spans="1:4" x14ac:dyDescent="0.25">
      <c r="A5512" t="str">
        <f>T("   210111")</f>
        <v xml:space="preserve">   210111</v>
      </c>
      <c r="B5512" t="str">
        <f>T("   Extraits, essences et concentrés de café")</f>
        <v xml:space="preserve">   Extraits, essences et concentrés de café</v>
      </c>
      <c r="C5512">
        <v>2621812</v>
      </c>
      <c r="D5512">
        <v>3603</v>
      </c>
    </row>
    <row r="5513" spans="1:4" x14ac:dyDescent="0.25">
      <c r="A5513" t="str">
        <f>T("   210130")</f>
        <v xml:space="preserve">   210130</v>
      </c>
      <c r="B5513" t="str">
        <f>T("   Chicorée torréfiée et autres succédanés torréfiés du café et leurs extraits, essences et concentrés")</f>
        <v xml:space="preserve">   Chicorée torréfiée et autres succédanés torréfiés du café et leurs extraits, essences et concentrés</v>
      </c>
      <c r="C5513">
        <v>10066</v>
      </c>
      <c r="D5513">
        <v>200</v>
      </c>
    </row>
    <row r="5514" spans="1:4" x14ac:dyDescent="0.25">
      <c r="A5514" t="str">
        <f>T("   210420")</f>
        <v xml:space="preserve">   210420</v>
      </c>
      <c r="B5514" t="s">
        <v>60</v>
      </c>
      <c r="C5514">
        <v>30199</v>
      </c>
      <c r="D5514">
        <v>45</v>
      </c>
    </row>
    <row r="5515" spans="1:4" x14ac:dyDescent="0.25">
      <c r="A5515" t="str">
        <f>T("   210690")</f>
        <v xml:space="preserve">   210690</v>
      </c>
      <c r="B5515" t="str">
        <f>T("   Préparations alimentaires, n.d.a.")</f>
        <v xml:space="preserve">   Préparations alimentaires, n.d.a.</v>
      </c>
      <c r="C5515">
        <v>1562845</v>
      </c>
      <c r="D5515">
        <v>943</v>
      </c>
    </row>
    <row r="5516" spans="1:4" x14ac:dyDescent="0.25">
      <c r="A5516" t="str">
        <f>T("   220210")</f>
        <v xml:space="preserve">   220210</v>
      </c>
      <c r="B5516"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5516">
        <v>16513408</v>
      </c>
      <c r="D5516">
        <v>41142</v>
      </c>
    </row>
    <row r="5517" spans="1:4" x14ac:dyDescent="0.25">
      <c r="A5517" t="str">
        <f>T("   220290")</f>
        <v xml:space="preserve">   220290</v>
      </c>
      <c r="B5517" t="str">
        <f>T("   BOISSONS NON-ALCOOLIQUES (À L'EXCL. DES EAUX, DES JUS DE FRUITS OU DE LÉGUMES AINSI QUE DU LAIT)")</f>
        <v xml:space="preserve">   BOISSONS NON-ALCOOLIQUES (À L'EXCL. DES EAUX, DES JUS DE FRUITS OU DE LÉGUMES AINSI QUE DU LAIT)</v>
      </c>
      <c r="C5517">
        <v>10798582</v>
      </c>
      <c r="D5517">
        <v>44289</v>
      </c>
    </row>
    <row r="5518" spans="1:4" x14ac:dyDescent="0.25">
      <c r="A5518" t="str">
        <f>T("   220830")</f>
        <v xml:space="preserve">   220830</v>
      </c>
      <c r="B5518" t="str">
        <f>T("   Whiskies")</f>
        <v xml:space="preserve">   Whiskies</v>
      </c>
      <c r="C5518">
        <v>13186411</v>
      </c>
      <c r="D5518">
        <v>13550</v>
      </c>
    </row>
    <row r="5519" spans="1:4" x14ac:dyDescent="0.25">
      <c r="A5519" t="str">
        <f>T("   220890")</f>
        <v xml:space="preserve">   220890</v>
      </c>
      <c r="B5519" t="s">
        <v>62</v>
      </c>
      <c r="C5519">
        <v>11102123</v>
      </c>
      <c r="D5519">
        <v>64326</v>
      </c>
    </row>
    <row r="5520" spans="1:4" x14ac:dyDescent="0.25">
      <c r="A5520" t="str">
        <f>T("   230910")</f>
        <v xml:space="preserve">   230910</v>
      </c>
      <c r="B5520" t="str">
        <f>T("   Aliments pour chiens ou chats, conditionnés pour la vente au détail")</f>
        <v xml:space="preserve">   Aliments pour chiens ou chats, conditionnés pour la vente au détail</v>
      </c>
      <c r="C5520">
        <v>875528</v>
      </c>
      <c r="D5520">
        <v>1110</v>
      </c>
    </row>
    <row r="5521" spans="1:4" x14ac:dyDescent="0.25">
      <c r="A5521" t="str">
        <f>T("   250100")</f>
        <v xml:space="preserve">   250100</v>
      </c>
      <c r="B5521" t="s">
        <v>65</v>
      </c>
      <c r="C5521">
        <v>979891</v>
      </c>
      <c r="D5521">
        <v>1343</v>
      </c>
    </row>
    <row r="5522" spans="1:4" x14ac:dyDescent="0.25">
      <c r="A5522" t="str">
        <f>T("   252220")</f>
        <v xml:space="preserve">   252220</v>
      </c>
      <c r="B5522" t="str">
        <f>T("   Chaux éteinte")</f>
        <v xml:space="preserve">   Chaux éteinte</v>
      </c>
      <c r="C5522">
        <v>26296113</v>
      </c>
      <c r="D5522">
        <v>200000</v>
      </c>
    </row>
    <row r="5523" spans="1:4" x14ac:dyDescent="0.25">
      <c r="A5523" t="str">
        <f>T("   253090")</f>
        <v xml:space="preserve">   253090</v>
      </c>
      <c r="B5523" t="str">
        <f>T("   Sulfures d'arsenic, alunite, terre de pouzzolane, terres colorantes et autres matières minérales, n.d.a.")</f>
        <v xml:space="preserve">   Sulfures d'arsenic, alunite, terre de pouzzolane, terres colorantes et autres matières minérales, n.d.a.</v>
      </c>
      <c r="C5523">
        <v>12463</v>
      </c>
      <c r="D5523">
        <v>82</v>
      </c>
    </row>
    <row r="5524" spans="1:4" x14ac:dyDescent="0.25">
      <c r="A5524" t="str">
        <f>T("   270750")</f>
        <v xml:space="preserve">   270750</v>
      </c>
      <c r="B5524" t="str">
        <f>T("   MÉLANGES D'HYDROCARBURES AROMATIQUES DISTILLANT &gt;= 65% DE LEUR VOLUME, Y.C. LES PERTES, À 250°C D'APRÈS LA MÉTHODE ASTM D 86 (À L'EXCL. DES PRODUITS DE CONSTITUTION CHIMIQUE DÉFINIE)")</f>
        <v xml:space="preserve">   MÉLANGES D'HYDROCARBURES AROMATIQUES DISTILLANT &gt;= 65% DE LEUR VOLUME, Y.C. LES PERTES, À 250°C D'APRÈS LA MÉTHODE ASTM D 86 (À L'EXCL. DES PRODUITS DE CONSTITUTION CHIMIQUE DÉFINIE)</v>
      </c>
      <c r="C5524">
        <v>1566433</v>
      </c>
      <c r="D5524">
        <v>1790</v>
      </c>
    </row>
    <row r="5525" spans="1:4" x14ac:dyDescent="0.25">
      <c r="A5525" t="str">
        <f>T("   271011")</f>
        <v xml:space="preserve">   271011</v>
      </c>
      <c r="B5525"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5525">
        <v>143132161</v>
      </c>
      <c r="D5525">
        <v>432037</v>
      </c>
    </row>
    <row r="5526" spans="1:4" x14ac:dyDescent="0.25">
      <c r="A5526" t="str">
        <f>T("   271019")</f>
        <v xml:space="preserve">   271019</v>
      </c>
      <c r="B5526" t="str">
        <f>T("   Huiles moyennes et préparations, de pétrole ou de minéraux bitumineux, n.d.a.")</f>
        <v xml:space="preserve">   Huiles moyennes et préparations, de pétrole ou de minéraux bitumineux, n.d.a.</v>
      </c>
      <c r="C5526">
        <v>22577171445</v>
      </c>
      <c r="D5526">
        <v>78375456</v>
      </c>
    </row>
    <row r="5527" spans="1:4" x14ac:dyDescent="0.25">
      <c r="A5527" t="str">
        <f>T("   282300")</f>
        <v xml:space="preserve">   282300</v>
      </c>
      <c r="B5527" t="str">
        <f>T("   Oxydes de titane")</f>
        <v xml:space="preserve">   Oxydes de titane</v>
      </c>
      <c r="C5527">
        <v>94496942</v>
      </c>
      <c r="D5527">
        <v>40000</v>
      </c>
    </row>
    <row r="5528" spans="1:4" x14ac:dyDescent="0.25">
      <c r="A5528" t="str">
        <f>T("   285100")</f>
        <v xml:space="preserve">   285100</v>
      </c>
      <c r="B5528" t="str">
        <f>T("   Composés inorganiques, y.c. les eaux distillées, de conductibilité ou de même degré de pureté, n.d.a.; air liquide, y.c. l'air liquide dont les gaz ont été éliminés; air comprimé; amalgames (autres que de métaux précieux)")</f>
        <v xml:space="preserve">   Composés inorganiques, y.c. les eaux distillées, de conductibilité ou de même degré de pureté, n.d.a.; air liquide, y.c. l'air liquide dont les gaz ont été éliminés; air comprimé; amalgames (autres que de métaux précieux)</v>
      </c>
      <c r="C5528">
        <v>34035219</v>
      </c>
      <c r="D5528">
        <v>49320</v>
      </c>
    </row>
    <row r="5529" spans="1:4" x14ac:dyDescent="0.25">
      <c r="A5529" t="str">
        <f>T("   290220")</f>
        <v xml:space="preserve">   290220</v>
      </c>
      <c r="B5529" t="str">
        <f>T("   Benzène")</f>
        <v xml:space="preserve">   Benzène</v>
      </c>
      <c r="C5529">
        <v>27495095</v>
      </c>
      <c r="D5529">
        <v>21520</v>
      </c>
    </row>
    <row r="5530" spans="1:4" x14ac:dyDescent="0.25">
      <c r="A5530" t="str">
        <f>T("   290230")</f>
        <v xml:space="preserve">   290230</v>
      </c>
      <c r="B5530" t="str">
        <f>T("   Toluène")</f>
        <v xml:space="preserve">   Toluène</v>
      </c>
      <c r="C5530">
        <v>10978804</v>
      </c>
      <c r="D5530">
        <v>11402</v>
      </c>
    </row>
    <row r="5531" spans="1:4" x14ac:dyDescent="0.25">
      <c r="A5531" t="str">
        <f>T("   290290")</f>
        <v xml:space="preserve">   290290</v>
      </c>
      <c r="B5531" t="str">
        <f>T("   Hydrocarbures cycliques (à l'excl. des hydrocarbures cyclaniques, cycléniques ou cycloterpéniques, du benzène, du toluène, des xylènes, du styrène, de l'éthylbenzène et du cumène)")</f>
        <v xml:space="preserve">   Hydrocarbures cycliques (à l'excl. des hydrocarbures cyclaniques, cycléniques ou cycloterpéniques, du benzène, du toluène, des xylènes, du styrène, de l'éthylbenzène et du cumène)</v>
      </c>
      <c r="C5531">
        <v>24071108</v>
      </c>
      <c r="D5531">
        <v>19120</v>
      </c>
    </row>
    <row r="5532" spans="1:4" x14ac:dyDescent="0.25">
      <c r="A5532" t="str">
        <f>T("   290512")</f>
        <v xml:space="preserve">   290512</v>
      </c>
      <c r="B5532" t="str">
        <f>T("   Propane-1-ol [alcool propylique] et propane-2-ol [alcool isopropylique]")</f>
        <v xml:space="preserve">   Propane-1-ol [alcool propylique] et propane-2-ol [alcool isopropylique]</v>
      </c>
      <c r="C5532">
        <v>2315540</v>
      </c>
      <c r="D5532">
        <v>1140</v>
      </c>
    </row>
    <row r="5533" spans="1:4" x14ac:dyDescent="0.25">
      <c r="A5533" t="str">
        <f>T("   292910")</f>
        <v xml:space="preserve">   292910</v>
      </c>
      <c r="B5533" t="str">
        <f>T("   Isocyanates")</f>
        <v xml:space="preserve">   Isocyanates</v>
      </c>
      <c r="C5533">
        <v>52922853</v>
      </c>
      <c r="D5533">
        <v>43772</v>
      </c>
    </row>
    <row r="5534" spans="1:4" x14ac:dyDescent="0.25">
      <c r="A5534" t="str">
        <f>T("   300490")</f>
        <v xml:space="preserve">   300490</v>
      </c>
      <c r="B5534" t="s">
        <v>79</v>
      </c>
      <c r="C5534">
        <v>24004816</v>
      </c>
      <c r="D5534">
        <v>23240</v>
      </c>
    </row>
    <row r="5535" spans="1:4" x14ac:dyDescent="0.25">
      <c r="A5535" t="str">
        <f>T("   320417")</f>
        <v xml:space="preserve">   320417</v>
      </c>
      <c r="B5535" t="s">
        <v>87</v>
      </c>
      <c r="C5535">
        <v>833069</v>
      </c>
      <c r="D5535">
        <v>120</v>
      </c>
    </row>
    <row r="5536" spans="1:4" x14ac:dyDescent="0.25">
      <c r="A5536" t="str">
        <f>T("   320611")</f>
        <v xml:space="preserve">   320611</v>
      </c>
      <c r="B5536" t="s">
        <v>90</v>
      </c>
      <c r="C5536">
        <v>39390294</v>
      </c>
      <c r="D5536">
        <v>20640</v>
      </c>
    </row>
    <row r="5537" spans="1:4" x14ac:dyDescent="0.25">
      <c r="A5537" t="str">
        <f>T("   320990")</f>
        <v xml:space="preserve">   320990</v>
      </c>
      <c r="B5537"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5537">
        <v>1012147</v>
      </c>
      <c r="D5537">
        <v>1050</v>
      </c>
    </row>
    <row r="5538" spans="1:4" x14ac:dyDescent="0.25">
      <c r="A5538" t="str">
        <f>T("   321100")</f>
        <v xml:space="preserve">   321100</v>
      </c>
      <c r="B5538" t="str">
        <f>T("   Siccatifs préparés")</f>
        <v xml:space="preserve">   Siccatifs préparés</v>
      </c>
      <c r="C5538">
        <v>1811105</v>
      </c>
      <c r="D5538">
        <v>800</v>
      </c>
    </row>
    <row r="5539" spans="1:4" x14ac:dyDescent="0.25">
      <c r="A5539" t="str">
        <f>T("   321590")</f>
        <v xml:space="preserve">   321590</v>
      </c>
      <c r="B5539" t="str">
        <f>T("   Encres à écrire et à dessiner, même concentrées ou sous formes solides")</f>
        <v xml:space="preserve">   Encres à écrire et à dessiner, même concentrées ou sous formes solides</v>
      </c>
      <c r="C5539">
        <v>4692737</v>
      </c>
      <c r="D5539">
        <v>82</v>
      </c>
    </row>
    <row r="5540" spans="1:4" x14ac:dyDescent="0.25">
      <c r="A5540" t="str">
        <f>T("   330129")</f>
        <v xml:space="preserve">   330129</v>
      </c>
      <c r="B5540" t="str">
        <f>T("   HUILES ESSENTIELLES, DÉTERPÉNÉES OU NON, Y.C. CELLES DITES 'CONCRÈTES' OU 'ABSOLUES' (À L'EXCL. DES HUILES ESSENTIELLES D'AGRUMES OU DE MENTHES)")</f>
        <v xml:space="preserve">   HUILES ESSENTIELLES, DÉTERPÉNÉES OU NON, Y.C. CELLES DITES 'CONCRÈTES' OU 'ABSOLUES' (À L'EXCL. DES HUILES ESSENTIELLES D'AGRUMES OU DE MENTHES)</v>
      </c>
      <c r="C5540">
        <v>365595</v>
      </c>
      <c r="D5540">
        <v>422</v>
      </c>
    </row>
    <row r="5541" spans="1:4" x14ac:dyDescent="0.25">
      <c r="A5541" t="str">
        <f>T("   330499")</f>
        <v xml:space="preserve">   330499</v>
      </c>
      <c r="B5541" t="s">
        <v>97</v>
      </c>
      <c r="C5541">
        <v>2664406</v>
      </c>
      <c r="D5541">
        <v>2349</v>
      </c>
    </row>
    <row r="5542" spans="1:4" x14ac:dyDescent="0.25">
      <c r="A5542" t="str">
        <f>T("   330720")</f>
        <v xml:space="preserve">   330720</v>
      </c>
      <c r="B5542" t="str">
        <f>T("   Désodorisants corporels et antisudoraux, préparés")</f>
        <v xml:space="preserve">   Désodorisants corporels et antisudoraux, préparés</v>
      </c>
      <c r="C5542">
        <v>30174</v>
      </c>
      <c r="D5542">
        <v>5</v>
      </c>
    </row>
    <row r="5543" spans="1:4" x14ac:dyDescent="0.25">
      <c r="A5543" t="str">
        <f>T("   340111")</f>
        <v xml:space="preserve">   340111</v>
      </c>
      <c r="B5543" t="s">
        <v>98</v>
      </c>
      <c r="C5543">
        <v>369305</v>
      </c>
      <c r="D5543">
        <v>2000</v>
      </c>
    </row>
    <row r="5544" spans="1:4" x14ac:dyDescent="0.25">
      <c r="A5544" t="str">
        <f>T("   340120")</f>
        <v xml:space="preserve">   340120</v>
      </c>
      <c r="B5544" t="str">
        <f>T("   Savons en flocons, en paillettes, en granulés ou en poudres et savons liquides ou pâteux")</f>
        <v xml:space="preserve">   Savons en flocons, en paillettes, en granulés ou en poudres et savons liquides ou pâteux</v>
      </c>
      <c r="C5544">
        <v>1263868</v>
      </c>
      <c r="D5544">
        <v>757</v>
      </c>
    </row>
    <row r="5545" spans="1:4" x14ac:dyDescent="0.25">
      <c r="A5545" t="str">
        <f>T("   340290")</f>
        <v xml:space="preserve">   340290</v>
      </c>
      <c r="B5545" t="s">
        <v>101</v>
      </c>
      <c r="C5545">
        <v>1931802</v>
      </c>
      <c r="D5545">
        <v>375</v>
      </c>
    </row>
    <row r="5546" spans="1:4" x14ac:dyDescent="0.25">
      <c r="A5546" t="str">
        <f>T("   380810")</f>
        <v xml:space="preserve">   380810</v>
      </c>
      <c r="B5546"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5546">
        <v>307441</v>
      </c>
      <c r="D5546">
        <v>185</v>
      </c>
    </row>
    <row r="5547" spans="1:4" x14ac:dyDescent="0.25">
      <c r="A5547" t="str">
        <f>T("   380890")</f>
        <v xml:space="preserve">   380890</v>
      </c>
      <c r="B5547"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5547">
        <v>5459556</v>
      </c>
      <c r="D5547">
        <v>3680</v>
      </c>
    </row>
    <row r="5548" spans="1:4" x14ac:dyDescent="0.25">
      <c r="A5548" t="str">
        <f>T("   381400")</f>
        <v xml:space="preserve">   381400</v>
      </c>
      <c r="B5548"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5548">
        <v>7940242</v>
      </c>
      <c r="D5548">
        <v>30736</v>
      </c>
    </row>
    <row r="5549" spans="1:4" x14ac:dyDescent="0.25">
      <c r="A5549" t="str">
        <f>T("   382200")</f>
        <v xml:space="preserve">   382200</v>
      </c>
      <c r="B5549" t="s">
        <v>122</v>
      </c>
      <c r="C5549">
        <v>963697</v>
      </c>
      <c r="D5549">
        <v>30</v>
      </c>
    </row>
    <row r="5550" spans="1:4" x14ac:dyDescent="0.25">
      <c r="A5550" t="str">
        <f>T("   382490")</f>
        <v xml:space="preserve">   382490</v>
      </c>
      <c r="B5550"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5550">
        <v>6147853</v>
      </c>
      <c r="D5550">
        <v>3190</v>
      </c>
    </row>
    <row r="5551" spans="1:4" x14ac:dyDescent="0.25">
      <c r="A5551" t="str">
        <f>T("   390319")</f>
        <v xml:space="preserve">   390319</v>
      </c>
      <c r="B5551" t="str">
        <f>T("   Polystyrène sous formes primaires (à l'excl. du polystyrène expansible)")</f>
        <v xml:space="preserve">   Polystyrène sous formes primaires (à l'excl. du polystyrène expansible)</v>
      </c>
      <c r="C5551">
        <v>63178132</v>
      </c>
      <c r="D5551">
        <v>60000</v>
      </c>
    </row>
    <row r="5552" spans="1:4" x14ac:dyDescent="0.25">
      <c r="A5552" t="str">
        <f>T("   390390")</f>
        <v xml:space="preserve">   390390</v>
      </c>
      <c r="B5552"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5552">
        <v>1829472</v>
      </c>
      <c r="D5552">
        <v>1000</v>
      </c>
    </row>
    <row r="5553" spans="1:4" x14ac:dyDescent="0.25">
      <c r="A5553" t="str">
        <f>T("   390521")</f>
        <v xml:space="preserve">   390521</v>
      </c>
      <c r="B5553" t="str">
        <f>T("   Copolymères d'acétate de vinyle, en dispersion aqueuse")</f>
        <v xml:space="preserve">   Copolymères d'acétate de vinyle, en dispersion aqueuse</v>
      </c>
      <c r="C5553">
        <v>41482254</v>
      </c>
      <c r="D5553">
        <v>44915</v>
      </c>
    </row>
    <row r="5554" spans="1:4" x14ac:dyDescent="0.25">
      <c r="A5554" t="str">
        <f>T("   390690")</f>
        <v xml:space="preserve">   390690</v>
      </c>
      <c r="B5554" t="str">
        <f>T("   Polymères acryliques, sous formes primaires (à l'excl. du poly[méthacrylate de méthyle])")</f>
        <v xml:space="preserve">   Polymères acryliques, sous formes primaires (à l'excl. du poly[méthacrylate de méthyle])</v>
      </c>
      <c r="C5554">
        <v>3817687</v>
      </c>
      <c r="D5554">
        <v>1027</v>
      </c>
    </row>
    <row r="5555" spans="1:4" x14ac:dyDescent="0.25">
      <c r="A5555" t="str">
        <f>T("   390720")</f>
        <v xml:space="preserve">   390720</v>
      </c>
      <c r="B5555" t="str">
        <f>T("   Polyéthers, sous formes primaires (à l'excl. des polyacétals)")</f>
        <v xml:space="preserve">   Polyéthers, sous formes primaires (à l'excl. des polyacétals)</v>
      </c>
      <c r="C5555">
        <v>147757876</v>
      </c>
      <c r="D5555">
        <v>126900</v>
      </c>
    </row>
    <row r="5556" spans="1:4" x14ac:dyDescent="0.25">
      <c r="A5556" t="str">
        <f>T("   390750")</f>
        <v xml:space="preserve">   390750</v>
      </c>
      <c r="B5556" t="str">
        <f>T("   Résines alkydes, sous formes primaires")</f>
        <v xml:space="preserve">   Résines alkydes, sous formes primaires</v>
      </c>
      <c r="C5556">
        <v>138733026</v>
      </c>
      <c r="D5556">
        <v>139770</v>
      </c>
    </row>
    <row r="5557" spans="1:4" x14ac:dyDescent="0.25">
      <c r="A5557" t="str">
        <f>T("   390799")</f>
        <v xml:space="preserve">   390799</v>
      </c>
      <c r="B5557"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5557">
        <v>3012235</v>
      </c>
      <c r="D5557">
        <v>3000</v>
      </c>
    </row>
    <row r="5558" spans="1:4" x14ac:dyDescent="0.25">
      <c r="A5558" t="str">
        <f>T("   390950")</f>
        <v xml:space="preserve">   390950</v>
      </c>
      <c r="B5558" t="str">
        <f>T("   Polyuréthannes, sous formes primaires")</f>
        <v xml:space="preserve">   Polyuréthannes, sous formes primaires</v>
      </c>
      <c r="C5558">
        <v>26815645</v>
      </c>
      <c r="D5558">
        <v>22100</v>
      </c>
    </row>
    <row r="5559" spans="1:4" x14ac:dyDescent="0.25">
      <c r="A5559" t="str">
        <f>T("   391190")</f>
        <v xml:space="preserve">   391190</v>
      </c>
      <c r="B5559" t="str">
        <f>T("   Polysulfures, polysulfones et autres polymères et prépolymères obtenus par voie de synthèse chimique [voir note 3 du présent chapitre], n.d.a., sous formes primaires")</f>
        <v xml:space="preserve">   Polysulfures, polysulfones et autres polymères et prépolymères obtenus par voie de synthèse chimique [voir note 3 du présent chapitre], n.d.a., sous formes primaires</v>
      </c>
      <c r="C5559">
        <v>26656509</v>
      </c>
      <c r="D5559">
        <v>21840</v>
      </c>
    </row>
    <row r="5560" spans="1:4" x14ac:dyDescent="0.25">
      <c r="A5560" t="str">
        <f>T("   392092")</f>
        <v xml:space="preserve">   392092</v>
      </c>
      <c r="B5560" t="s">
        <v>136</v>
      </c>
      <c r="C5560">
        <v>5081</v>
      </c>
      <c r="D5560">
        <v>5</v>
      </c>
    </row>
    <row r="5561" spans="1:4" x14ac:dyDescent="0.25">
      <c r="A5561" t="str">
        <f>T("   392329")</f>
        <v xml:space="preserve">   392329</v>
      </c>
      <c r="B5561" t="str">
        <f>T("   Sacs, sachets, pochettes et cornets, en matières plastiques (autres que les polymères de l'éthylène)")</f>
        <v xml:space="preserve">   Sacs, sachets, pochettes et cornets, en matières plastiques (autres que les polymères de l'éthylène)</v>
      </c>
      <c r="C5561">
        <v>2137459</v>
      </c>
      <c r="D5561">
        <v>501</v>
      </c>
    </row>
    <row r="5562" spans="1:4" x14ac:dyDescent="0.25">
      <c r="A5562" t="str">
        <f>T("   392490")</f>
        <v xml:space="preserve">   392490</v>
      </c>
      <c r="B5562" t="s">
        <v>143</v>
      </c>
      <c r="C5562">
        <v>2275536</v>
      </c>
      <c r="D5562">
        <v>1013</v>
      </c>
    </row>
    <row r="5563" spans="1:4" x14ac:dyDescent="0.25">
      <c r="A5563" t="str">
        <f>T("   392610")</f>
        <v xml:space="preserve">   392610</v>
      </c>
      <c r="B5563" t="str">
        <f>T("   Articles de bureau et articles scolaires, en matières plastiques, n.d.a.")</f>
        <v xml:space="preserve">   Articles de bureau et articles scolaires, en matières plastiques, n.d.a.</v>
      </c>
      <c r="C5563">
        <v>50509</v>
      </c>
      <c r="D5563">
        <v>100</v>
      </c>
    </row>
    <row r="5564" spans="1:4" x14ac:dyDescent="0.25">
      <c r="A5564" t="str">
        <f>T("   392640")</f>
        <v xml:space="preserve">   392640</v>
      </c>
      <c r="B5564" t="str">
        <f>T("   Statuettes et autres objets d'ornementation, en matières plastiques")</f>
        <v xml:space="preserve">   Statuettes et autres objets d'ornementation, en matières plastiques</v>
      </c>
      <c r="C5564">
        <v>10204</v>
      </c>
      <c r="D5564">
        <v>2</v>
      </c>
    </row>
    <row r="5565" spans="1:4" x14ac:dyDescent="0.25">
      <c r="A5565" t="str">
        <f>T("   392690")</f>
        <v xml:space="preserve">   392690</v>
      </c>
      <c r="B5565" t="str">
        <f>T("   Ouvrages en matières plastiques et ouvrages en autres matières du n° 3901 à 3914, n.d.a.")</f>
        <v xml:space="preserve">   Ouvrages en matières plastiques et ouvrages en autres matières du n° 3901 à 3914, n.d.a.</v>
      </c>
      <c r="C5565">
        <v>509527</v>
      </c>
      <c r="D5565">
        <v>1656</v>
      </c>
    </row>
    <row r="5566" spans="1:4" x14ac:dyDescent="0.25">
      <c r="A5566" t="str">
        <f>T("   400911")</f>
        <v xml:space="preserve">   400911</v>
      </c>
      <c r="B5566"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5566">
        <v>284129</v>
      </c>
      <c r="D5566">
        <v>29</v>
      </c>
    </row>
    <row r="5567" spans="1:4" x14ac:dyDescent="0.25">
      <c r="A5567" t="str">
        <f>T("   400941")</f>
        <v xml:space="preserve">   400941</v>
      </c>
      <c r="B5567"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5567">
        <v>2317067</v>
      </c>
      <c r="D5567">
        <v>186</v>
      </c>
    </row>
    <row r="5568" spans="1:4" x14ac:dyDescent="0.25">
      <c r="A5568" t="str">
        <f>T("   401039")</f>
        <v xml:space="preserve">   401039</v>
      </c>
      <c r="B5568" t="s">
        <v>151</v>
      </c>
      <c r="C5568">
        <v>704147</v>
      </c>
      <c r="D5568">
        <v>25</v>
      </c>
    </row>
    <row r="5569" spans="1:4" x14ac:dyDescent="0.25">
      <c r="A5569" t="str">
        <f>T("   401212")</f>
        <v xml:space="preserve">   401212</v>
      </c>
      <c r="B5569" t="str">
        <f>T("   Pneumatiques rechapés, en caoutchouc, des types utilisés pour les autobus ou camions")</f>
        <v xml:space="preserve">   Pneumatiques rechapés, en caoutchouc, des types utilisés pour les autobus ou camions</v>
      </c>
      <c r="C5569">
        <v>1400475</v>
      </c>
      <c r="D5569">
        <v>2000</v>
      </c>
    </row>
    <row r="5570" spans="1:4" x14ac:dyDescent="0.25">
      <c r="A5570" t="str">
        <f>T("   401219")</f>
        <v xml:space="preserve">   401219</v>
      </c>
      <c r="B5570"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5570">
        <v>6602893</v>
      </c>
      <c r="D5570">
        <v>13000</v>
      </c>
    </row>
    <row r="5571" spans="1:4" x14ac:dyDescent="0.25">
      <c r="A5571" t="str">
        <f>T("   401220")</f>
        <v xml:space="preserve">   401220</v>
      </c>
      <c r="B5571" t="str">
        <f>T("   Pneumatiques usagés, en caoutchouc")</f>
        <v xml:space="preserve">   Pneumatiques usagés, en caoutchouc</v>
      </c>
      <c r="C5571">
        <v>44395460</v>
      </c>
      <c r="D5571">
        <v>136400</v>
      </c>
    </row>
    <row r="5572" spans="1:4" x14ac:dyDescent="0.25">
      <c r="A5572" t="str">
        <f>T("   401390")</f>
        <v xml:space="preserve">   401390</v>
      </c>
      <c r="B5572"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5572">
        <v>33933</v>
      </c>
      <c r="D5572">
        <v>140</v>
      </c>
    </row>
    <row r="5573" spans="1:4" x14ac:dyDescent="0.25">
      <c r="A5573" t="str">
        <f>T("   420219")</f>
        <v xml:space="preserve">   420219</v>
      </c>
      <c r="B5573" t="s">
        <v>157</v>
      </c>
      <c r="C5573">
        <v>6043842</v>
      </c>
      <c r="D5573">
        <v>5475</v>
      </c>
    </row>
    <row r="5574" spans="1:4" x14ac:dyDescent="0.25">
      <c r="A5574" t="str">
        <f>T("   420229")</f>
        <v xml:space="preserve">   420229</v>
      </c>
      <c r="B5574"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5574">
        <v>4536143</v>
      </c>
      <c r="D5574">
        <v>8945</v>
      </c>
    </row>
    <row r="5575" spans="1:4" x14ac:dyDescent="0.25">
      <c r="A5575" t="str">
        <f>T("   420232")</f>
        <v xml:space="preserve">   420232</v>
      </c>
      <c r="B5575"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5575">
        <v>562115</v>
      </c>
      <c r="D5575">
        <v>1110</v>
      </c>
    </row>
    <row r="5576" spans="1:4" x14ac:dyDescent="0.25">
      <c r="A5576" t="str">
        <f>T("   420239")</f>
        <v xml:space="preserve">   420239</v>
      </c>
      <c r="B5576" t="s">
        <v>158</v>
      </c>
      <c r="C5576">
        <v>1162424</v>
      </c>
      <c r="D5576">
        <v>308</v>
      </c>
    </row>
    <row r="5577" spans="1:4" x14ac:dyDescent="0.25">
      <c r="A5577" t="str">
        <f>T("   420292")</f>
        <v xml:space="preserve">   420292</v>
      </c>
      <c r="B5577" t="s">
        <v>159</v>
      </c>
      <c r="C5577">
        <v>294568</v>
      </c>
      <c r="D5577">
        <v>650</v>
      </c>
    </row>
    <row r="5578" spans="1:4" x14ac:dyDescent="0.25">
      <c r="A5578" t="str">
        <f>T("   420299")</f>
        <v xml:space="preserve">   420299</v>
      </c>
      <c r="B5578" t="s">
        <v>160</v>
      </c>
      <c r="C5578">
        <v>3203150</v>
      </c>
      <c r="D5578">
        <v>806</v>
      </c>
    </row>
    <row r="5579" spans="1:4" x14ac:dyDescent="0.25">
      <c r="A5579" t="str">
        <f>T("   420330")</f>
        <v xml:space="preserve">   420330</v>
      </c>
      <c r="B5579" t="str">
        <f>T("   Ceintures, ceinturons et baudriers, en cuir naturel ou reconstitué")</f>
        <v xml:space="preserve">   Ceintures, ceinturons et baudriers, en cuir naturel ou reconstitué</v>
      </c>
      <c r="C5579">
        <v>142823</v>
      </c>
      <c r="D5579">
        <v>270</v>
      </c>
    </row>
    <row r="5580" spans="1:4" x14ac:dyDescent="0.25">
      <c r="A5580" t="str">
        <f>T("   480100")</f>
        <v xml:space="preserve">   480100</v>
      </c>
      <c r="B5580"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5580">
        <v>6214260</v>
      </c>
      <c r="D5580">
        <v>17476</v>
      </c>
    </row>
    <row r="5581" spans="1:4" x14ac:dyDescent="0.25">
      <c r="A5581" t="str">
        <f>T("   480210")</f>
        <v xml:space="preserve">   480210</v>
      </c>
      <c r="B5581" t="str">
        <f>T("   Papiers et cartons formés feuille à feuille [papiers à la main], de tout format et de toute forme")</f>
        <v xml:space="preserve">   Papiers et cartons formés feuille à feuille [papiers à la main], de tout format et de toute forme</v>
      </c>
      <c r="C5581">
        <v>6303932</v>
      </c>
      <c r="D5581">
        <v>19260</v>
      </c>
    </row>
    <row r="5582" spans="1:4" x14ac:dyDescent="0.25">
      <c r="A5582" t="str">
        <f>T("   480257")</f>
        <v xml:space="preserve">   480257</v>
      </c>
      <c r="B5582" t="s">
        <v>189</v>
      </c>
      <c r="C5582">
        <v>7783954</v>
      </c>
      <c r="D5582">
        <v>17053</v>
      </c>
    </row>
    <row r="5583" spans="1:4" x14ac:dyDescent="0.25">
      <c r="A5583" t="str">
        <f>T("   481019")</f>
        <v xml:space="preserve">   481019</v>
      </c>
      <c r="B5583" t="s">
        <v>203</v>
      </c>
      <c r="C5583">
        <v>99198</v>
      </c>
      <c r="D5583">
        <v>103</v>
      </c>
    </row>
    <row r="5584" spans="1:4" x14ac:dyDescent="0.25">
      <c r="A5584" t="str">
        <f>T("   481190")</f>
        <v xml:space="preserve">   481190</v>
      </c>
      <c r="B5584" t="s">
        <v>210</v>
      </c>
      <c r="C5584">
        <v>5950344</v>
      </c>
      <c r="D5584">
        <v>1270</v>
      </c>
    </row>
    <row r="5585" spans="1:4" x14ac:dyDescent="0.25">
      <c r="A5585" t="str">
        <f>T("   481910")</f>
        <v xml:space="preserve">   481910</v>
      </c>
      <c r="B5585" t="str">
        <f>T("   Boîtes et caisses en papier ou en carton ondulé")</f>
        <v xml:space="preserve">   Boîtes et caisses en papier ou en carton ondulé</v>
      </c>
      <c r="C5585">
        <v>26675</v>
      </c>
      <c r="D5585">
        <v>23</v>
      </c>
    </row>
    <row r="5586" spans="1:4" x14ac:dyDescent="0.25">
      <c r="A5586" t="str">
        <f>T("   481920")</f>
        <v xml:space="preserve">   481920</v>
      </c>
      <c r="B5586" t="str">
        <f>T("   Boîtes et cartonnages, pliants, en papier ou en carton non ondulé")</f>
        <v xml:space="preserve">   Boîtes et cartonnages, pliants, en papier ou en carton non ondulé</v>
      </c>
      <c r="C5586">
        <v>3193974</v>
      </c>
      <c r="D5586">
        <v>2400</v>
      </c>
    </row>
    <row r="5587" spans="1:4" x14ac:dyDescent="0.25">
      <c r="A5587" t="str">
        <f>T("   482050")</f>
        <v xml:space="preserve">   482050</v>
      </c>
      <c r="B5587" t="str">
        <f>T("   Albums pour échantillonnages ou pour collections, en papier ou en carton")</f>
        <v xml:space="preserve">   Albums pour échantillonnages ou pour collections, en papier ou en carton</v>
      </c>
      <c r="C5587">
        <v>35073</v>
      </c>
      <c r="D5587">
        <v>1369</v>
      </c>
    </row>
    <row r="5588" spans="1:4" x14ac:dyDescent="0.25">
      <c r="A5588" t="str">
        <f>T("   482340")</f>
        <v xml:space="preserve">   482340</v>
      </c>
      <c r="B5588"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5588">
        <v>18315</v>
      </c>
      <c r="D5588">
        <v>1</v>
      </c>
    </row>
    <row r="5589" spans="1:4" x14ac:dyDescent="0.25">
      <c r="A5589" t="str">
        <f>T("   490199")</f>
        <v xml:space="preserve">   490199</v>
      </c>
      <c r="B558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589">
        <v>8496444</v>
      </c>
      <c r="D5589">
        <v>3276</v>
      </c>
    </row>
    <row r="5590" spans="1:4" x14ac:dyDescent="0.25">
      <c r="A5590" t="str">
        <f>T("   491199")</f>
        <v xml:space="preserve">   491199</v>
      </c>
      <c r="B5590" t="str">
        <f>T("   Imprimés, n.d.a.")</f>
        <v xml:space="preserve">   Imprimés, n.d.a.</v>
      </c>
      <c r="C5590">
        <v>122515361</v>
      </c>
      <c r="D5590">
        <v>19869</v>
      </c>
    </row>
    <row r="5591" spans="1:4" x14ac:dyDescent="0.25">
      <c r="A5591" t="str">
        <f>T("   570500")</f>
        <v xml:space="preserve">   570500</v>
      </c>
      <c r="B5591"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5591">
        <v>237024</v>
      </c>
      <c r="D5591">
        <v>4850</v>
      </c>
    </row>
    <row r="5592" spans="1:4" x14ac:dyDescent="0.25">
      <c r="A5592" t="str">
        <f>T("   610510")</f>
        <v xml:space="preserve">   610510</v>
      </c>
      <c r="B5592"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5592">
        <v>1498927</v>
      </c>
      <c r="D5592">
        <v>313</v>
      </c>
    </row>
    <row r="5593" spans="1:4" x14ac:dyDescent="0.25">
      <c r="A5593" t="str">
        <f>T("   610590")</f>
        <v xml:space="preserve">   610590</v>
      </c>
      <c r="B5593"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5593">
        <v>12463</v>
      </c>
      <c r="D5593">
        <v>200</v>
      </c>
    </row>
    <row r="5594" spans="1:4" x14ac:dyDescent="0.25">
      <c r="A5594" t="str">
        <f>T("   610821")</f>
        <v xml:space="preserve">   610821</v>
      </c>
      <c r="B5594" t="str">
        <f>T("   Slips et culottes, en bonneterie, de coton, pour femmes ou fillettes")</f>
        <v xml:space="preserve">   Slips et culottes, en bonneterie, de coton, pour femmes ou fillettes</v>
      </c>
      <c r="C5594">
        <v>38258</v>
      </c>
      <c r="D5594">
        <v>5</v>
      </c>
    </row>
    <row r="5595" spans="1:4" x14ac:dyDescent="0.25">
      <c r="A5595" t="str">
        <f>T("   610910")</f>
        <v xml:space="preserve">   610910</v>
      </c>
      <c r="B5595" t="str">
        <f>T("   T-shirts et maillots de corps, en bonneterie, de coton,")</f>
        <v xml:space="preserve">   T-shirts et maillots de corps, en bonneterie, de coton,</v>
      </c>
      <c r="C5595">
        <v>2234381</v>
      </c>
      <c r="D5595">
        <v>574</v>
      </c>
    </row>
    <row r="5596" spans="1:4" x14ac:dyDescent="0.25">
      <c r="A5596" t="str">
        <f>T("   610990")</f>
        <v xml:space="preserve">   610990</v>
      </c>
      <c r="B5596" t="str">
        <f>T("   T-shirts et maillots de corps, en bonneterie, de matières textiles (sauf de coton)")</f>
        <v xml:space="preserve">   T-shirts et maillots de corps, en bonneterie, de matières textiles (sauf de coton)</v>
      </c>
      <c r="C5596">
        <v>58821</v>
      </c>
      <c r="D5596">
        <v>26</v>
      </c>
    </row>
    <row r="5597" spans="1:4" x14ac:dyDescent="0.25">
      <c r="A5597" t="str">
        <f>T("   611490")</f>
        <v xml:space="preserve">   611490</v>
      </c>
      <c r="B5597"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5597">
        <v>18215</v>
      </c>
      <c r="D5597">
        <v>300</v>
      </c>
    </row>
    <row r="5598" spans="1:4" x14ac:dyDescent="0.25">
      <c r="A5598" t="str">
        <f>T("   620329")</f>
        <v xml:space="preserve">   620329</v>
      </c>
      <c r="B5598"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5598">
        <v>161062</v>
      </c>
      <c r="D5598">
        <v>100</v>
      </c>
    </row>
    <row r="5599" spans="1:4" x14ac:dyDescent="0.25">
      <c r="A5599" t="str">
        <f>T("   620339")</f>
        <v xml:space="preserve">   620339</v>
      </c>
      <c r="B5599"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5599">
        <v>306305</v>
      </c>
      <c r="D5599">
        <v>280</v>
      </c>
    </row>
    <row r="5600" spans="1:4" x14ac:dyDescent="0.25">
      <c r="A5600" t="str">
        <f>T("   620349")</f>
        <v xml:space="preserve">   620349</v>
      </c>
      <c r="B5600" t="s">
        <v>261</v>
      </c>
      <c r="C5600">
        <v>432967</v>
      </c>
      <c r="D5600">
        <v>3601</v>
      </c>
    </row>
    <row r="5601" spans="1:4" x14ac:dyDescent="0.25">
      <c r="A5601" t="str">
        <f>T("   620590")</f>
        <v xml:space="preserve">   620590</v>
      </c>
      <c r="B560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5601">
        <v>1395519</v>
      </c>
      <c r="D5601">
        <v>1152</v>
      </c>
    </row>
    <row r="5602" spans="1:4" x14ac:dyDescent="0.25">
      <c r="A5602" t="str">
        <f>T("   620711")</f>
        <v xml:space="preserve">   620711</v>
      </c>
      <c r="B5602" t="str">
        <f>T("   SLIPS ET CALETHONS, DE COTON, POUR HOMMES OU GARÇONNETS (AUTRES QU'EN BONNETERIE)")</f>
        <v xml:space="preserve">   SLIPS ET CALETHONS, DE COTON, POUR HOMMES OU GARÇONNETS (AUTRES QU'EN BONNETERIE)</v>
      </c>
      <c r="C5602">
        <v>404806</v>
      </c>
      <c r="D5602">
        <v>99</v>
      </c>
    </row>
    <row r="5603" spans="1:4" x14ac:dyDescent="0.25">
      <c r="A5603" t="str">
        <f>T("   621040")</f>
        <v xml:space="preserve">   621040</v>
      </c>
      <c r="B5603" t="s">
        <v>265</v>
      </c>
      <c r="C5603">
        <v>321319</v>
      </c>
      <c r="D5603">
        <v>320</v>
      </c>
    </row>
    <row r="5604" spans="1:4" x14ac:dyDescent="0.25">
      <c r="A5604" t="str">
        <f>T("   630140")</f>
        <v xml:space="preserve">   630140</v>
      </c>
      <c r="B5604" t="str">
        <f>T("   Couvertures de fibres synthétiques (autres que chauffantes électriques et sauf linge de table, couvre-lits, linge de lit et les articles simil. du n° 9404 [sommiers et autres articles de literie])")</f>
        <v xml:space="preserve">   Couvertures de fibres synthétiques (autres que chauffantes électriques et sauf linge de table, couvre-lits, linge de lit et les articles simil. du n° 9404 [sommiers et autres articles de literie])</v>
      </c>
      <c r="C5604">
        <v>211279</v>
      </c>
      <c r="D5604">
        <v>2005</v>
      </c>
    </row>
    <row r="5605" spans="1:4" x14ac:dyDescent="0.25">
      <c r="A5605" t="str">
        <f>T("   630533")</f>
        <v xml:space="preserve">   630533</v>
      </c>
      <c r="B5605"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5605">
        <v>150037</v>
      </c>
      <c r="D5605">
        <v>5010</v>
      </c>
    </row>
    <row r="5606" spans="1:4" x14ac:dyDescent="0.25">
      <c r="A5606" t="str">
        <f>T("   630619")</f>
        <v xml:space="preserve">   630619</v>
      </c>
      <c r="B5606"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5606">
        <v>5793708</v>
      </c>
      <c r="D5606">
        <v>4680</v>
      </c>
    </row>
    <row r="5607" spans="1:4" x14ac:dyDescent="0.25">
      <c r="A5607" t="str">
        <f>T("   630790")</f>
        <v xml:space="preserve">   630790</v>
      </c>
      <c r="B5607" t="str">
        <f>T("   Articles de matières textiles, confectionnés, y.c. les patrons de vêtements n.d.a.")</f>
        <v xml:space="preserve">   Articles de matières textiles, confectionnés, y.c. les patrons de vêtements n.d.a.</v>
      </c>
      <c r="C5607">
        <v>5921411</v>
      </c>
      <c r="D5607">
        <v>159</v>
      </c>
    </row>
    <row r="5608" spans="1:4" x14ac:dyDescent="0.25">
      <c r="A5608" t="str">
        <f>T("   630900")</f>
        <v xml:space="preserve">   630900</v>
      </c>
      <c r="B5608" t="s">
        <v>273</v>
      </c>
      <c r="C5608">
        <v>9134171423</v>
      </c>
      <c r="D5608">
        <v>16877858.530000001</v>
      </c>
    </row>
    <row r="5609" spans="1:4" x14ac:dyDescent="0.25">
      <c r="A5609" t="str">
        <f>T("   631010")</f>
        <v xml:space="preserve">   631010</v>
      </c>
      <c r="B5609" t="str">
        <f>T("   Chiffons en tous types de matières textiles ainsi que ficelles, cordes et cordages et articles composés de ceux-ci, de matières textiles, sous forme de déchets ou d'articles hors d'usage, triés")</f>
        <v xml:space="preserve">   Chiffons en tous types de matières textiles ainsi que ficelles, cordes et cordages et articles composés de ceux-ci, de matières textiles, sous forme de déchets ou d'articles hors d'usage, triés</v>
      </c>
      <c r="C5609">
        <v>10658347</v>
      </c>
      <c r="D5609">
        <v>19200</v>
      </c>
    </row>
    <row r="5610" spans="1:4" x14ac:dyDescent="0.25">
      <c r="A5610" t="str">
        <f>T("   640590")</f>
        <v xml:space="preserve">   640590</v>
      </c>
      <c r="B5610" t="s">
        <v>283</v>
      </c>
      <c r="C5610">
        <v>36853906</v>
      </c>
      <c r="D5610">
        <v>42645</v>
      </c>
    </row>
    <row r="5611" spans="1:4" x14ac:dyDescent="0.25">
      <c r="A5611" t="str">
        <f>T("   650590")</f>
        <v xml:space="preserve">   650590</v>
      </c>
      <c r="B5611" t="s">
        <v>284</v>
      </c>
      <c r="C5611">
        <v>359033</v>
      </c>
      <c r="D5611">
        <v>25</v>
      </c>
    </row>
    <row r="5612" spans="1:4" x14ac:dyDescent="0.25">
      <c r="A5612" t="str">
        <f>T("   660199")</f>
        <v xml:space="preserve">   660199</v>
      </c>
      <c r="B5612"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5612">
        <v>4352294</v>
      </c>
      <c r="D5612">
        <v>76</v>
      </c>
    </row>
    <row r="5613" spans="1:4" x14ac:dyDescent="0.25">
      <c r="A5613" t="str">
        <f>T("   681110")</f>
        <v xml:space="preserve">   681110</v>
      </c>
      <c r="B5613" t="str">
        <f>T("   Plaques ondulées en amiante-ciment, cellulose-ciment ou simil.")</f>
        <v xml:space="preserve">   Plaques ondulées en amiante-ciment, cellulose-ciment ou simil.</v>
      </c>
      <c r="C5613">
        <v>1347512</v>
      </c>
      <c r="D5613">
        <v>12400</v>
      </c>
    </row>
    <row r="5614" spans="1:4" x14ac:dyDescent="0.25">
      <c r="A5614" t="str">
        <f>T("   690890")</f>
        <v xml:space="preserve">   690890</v>
      </c>
      <c r="B5614" t="s">
        <v>307</v>
      </c>
      <c r="C5614">
        <v>21582619</v>
      </c>
      <c r="D5614">
        <v>212421</v>
      </c>
    </row>
    <row r="5615" spans="1:4" x14ac:dyDescent="0.25">
      <c r="A5615" t="str">
        <f>T("   691200")</f>
        <v xml:space="preserve">   691200</v>
      </c>
      <c r="B5615" t="s">
        <v>313</v>
      </c>
      <c r="C5615">
        <v>183112</v>
      </c>
      <c r="D5615">
        <v>162</v>
      </c>
    </row>
    <row r="5616" spans="1:4" x14ac:dyDescent="0.25">
      <c r="A5616" t="str">
        <f>T("   701329")</f>
        <v xml:space="preserve">   701329</v>
      </c>
      <c r="B5616" t="str">
        <f>T("   Verres à boire (autres qu'en vitrocérame, autres qu'en cristal au plomb)")</f>
        <v xml:space="preserve">   Verres à boire (autres qu'en vitrocérame, autres qu'en cristal au plomb)</v>
      </c>
      <c r="C5616">
        <v>1006635</v>
      </c>
      <c r="D5616">
        <v>2089</v>
      </c>
    </row>
    <row r="5617" spans="1:4" x14ac:dyDescent="0.25">
      <c r="A5617" t="str">
        <f>T("   701339")</f>
        <v xml:space="preserve">   701339</v>
      </c>
      <c r="B5617" t="s">
        <v>324</v>
      </c>
      <c r="C5617">
        <v>700810</v>
      </c>
      <c r="D5617">
        <v>1000</v>
      </c>
    </row>
    <row r="5618" spans="1:4" x14ac:dyDescent="0.25">
      <c r="A5618" t="str">
        <f>T("   701710")</f>
        <v xml:space="preserve">   701710</v>
      </c>
      <c r="B5618" t="s">
        <v>329</v>
      </c>
      <c r="C5618">
        <v>2391667</v>
      </c>
      <c r="D5618">
        <v>8</v>
      </c>
    </row>
    <row r="5619" spans="1:4" x14ac:dyDescent="0.25">
      <c r="A5619" t="str">
        <f>T("   711711")</f>
        <v xml:space="preserve">   711711</v>
      </c>
      <c r="B5619" t="str">
        <f>T("   Boutons de manchettes et boutons simil., en métaux communs, même argentés, dorés ou platinés")</f>
        <v xml:space="preserve">   Boutons de manchettes et boutons simil., en métaux communs, même argentés, dorés ou platinés</v>
      </c>
      <c r="C5619">
        <v>199889</v>
      </c>
      <c r="D5619">
        <v>3</v>
      </c>
    </row>
    <row r="5620" spans="1:4" x14ac:dyDescent="0.25">
      <c r="A5620" t="str">
        <f>T("   720916")</f>
        <v xml:space="preserve">   720916</v>
      </c>
      <c r="B5620" t="str">
        <f>T("   PRODUITS LAMINÉS PLATS, EN FER OU EN ACIERS NON-ALLIÉS, D'UNE LARGEUR &gt;= 600 MM, NON-PLAQUÉS NI REVÊTUS, ENROULÉS, SIMPL. LAMINÉS À FROID, D'UNE ÉPAISSEUR &gt; 1 MM MAIS &lt; 3 MM")</f>
        <v xml:space="preserve">   PRODUITS LAMINÉS PLATS, EN FER OU EN ACIERS NON-ALLIÉS, D'UNE LARGEUR &gt;= 600 MM, NON-PLAQUÉS NI REVÊTUS, ENROULÉS, SIMPL. LAMINÉS À FROID, D'UNE ÉPAISSEUR &gt; 1 MM MAIS &lt; 3 MM</v>
      </c>
      <c r="C5620">
        <v>10765856</v>
      </c>
      <c r="D5620">
        <v>25380</v>
      </c>
    </row>
    <row r="5621" spans="1:4" x14ac:dyDescent="0.25">
      <c r="A5621" t="str">
        <f>T("   720917")</f>
        <v xml:space="preserve">   720917</v>
      </c>
      <c r="B5621"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5621">
        <v>43359346</v>
      </c>
      <c r="D5621">
        <v>102210</v>
      </c>
    </row>
    <row r="5622" spans="1:4" x14ac:dyDescent="0.25">
      <c r="A5622" t="str">
        <f>T("   721391")</f>
        <v xml:space="preserve">   721391</v>
      </c>
      <c r="B5622"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5622">
        <v>2034300058</v>
      </c>
      <c r="D5622">
        <v>4991900</v>
      </c>
    </row>
    <row r="5623" spans="1:4" x14ac:dyDescent="0.25">
      <c r="A5623" t="str">
        <f>T("   730290")</f>
        <v xml:space="preserve">   730290</v>
      </c>
      <c r="B5623" t="s">
        <v>342</v>
      </c>
      <c r="C5623">
        <v>138676504</v>
      </c>
      <c r="D5623">
        <v>210038</v>
      </c>
    </row>
    <row r="5624" spans="1:4" x14ac:dyDescent="0.25">
      <c r="A5624" t="str">
        <f>T("   731815")</f>
        <v xml:space="preserve">   731815</v>
      </c>
      <c r="B5624" t="s">
        <v>354</v>
      </c>
      <c r="C5624">
        <v>1319969</v>
      </c>
      <c r="D5624">
        <v>20.34</v>
      </c>
    </row>
    <row r="5625" spans="1:4" x14ac:dyDescent="0.25">
      <c r="A5625" t="str">
        <f>T("   731822")</f>
        <v xml:space="preserve">   731822</v>
      </c>
      <c r="B5625" t="str">
        <f>T("   Rondelles en fonte, fer ou acier (sauf rondelles destinées à faire ressort et autres rondelles de blocage)")</f>
        <v xml:space="preserve">   Rondelles en fonte, fer ou acier (sauf rondelles destinées à faire ressort et autres rondelles de blocage)</v>
      </c>
      <c r="C5625">
        <v>983461</v>
      </c>
      <c r="D5625">
        <v>102</v>
      </c>
    </row>
    <row r="5626" spans="1:4" x14ac:dyDescent="0.25">
      <c r="A5626" t="str">
        <f>T("   731829")</f>
        <v xml:space="preserve">   731829</v>
      </c>
      <c r="B5626" t="str">
        <f>T("   Articles de boulonnerie et de visserie non filetés, en fonte, fer ou acier, n.d.a.")</f>
        <v xml:space="preserve">   Articles de boulonnerie et de visserie non filetés, en fonte, fer ou acier, n.d.a.</v>
      </c>
      <c r="C5626">
        <v>2959692</v>
      </c>
      <c r="D5626">
        <v>52</v>
      </c>
    </row>
    <row r="5627" spans="1:4" x14ac:dyDescent="0.25">
      <c r="A5627" t="str">
        <f>T("   732112")</f>
        <v xml:space="preserve">   732112</v>
      </c>
      <c r="B5627" t="s">
        <v>357</v>
      </c>
      <c r="C5627">
        <v>708960</v>
      </c>
      <c r="D5627">
        <v>800</v>
      </c>
    </row>
    <row r="5628" spans="1:4" x14ac:dyDescent="0.25">
      <c r="A5628" t="str">
        <f>T("   732393")</f>
        <v xml:space="preserve">   732393</v>
      </c>
      <c r="B5628" t="s">
        <v>361</v>
      </c>
      <c r="C5628">
        <v>625729</v>
      </c>
      <c r="D5628">
        <v>165</v>
      </c>
    </row>
    <row r="5629" spans="1:4" x14ac:dyDescent="0.25">
      <c r="A5629" t="str">
        <f>T("   732690")</f>
        <v xml:space="preserve">   732690</v>
      </c>
      <c r="B5629"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5629">
        <v>2489744</v>
      </c>
      <c r="D5629">
        <v>201</v>
      </c>
    </row>
    <row r="5630" spans="1:4" x14ac:dyDescent="0.25">
      <c r="A5630" t="str">
        <f>T("   810490")</f>
        <v xml:space="preserve">   810490</v>
      </c>
      <c r="B5630" t="str">
        <f>T("   OUVRAGES EN MAGNESIUM, N.D.A.")</f>
        <v xml:space="preserve">   OUVRAGES EN MAGNESIUM, N.D.A.</v>
      </c>
      <c r="C5630">
        <v>85238</v>
      </c>
      <c r="D5630">
        <v>51</v>
      </c>
    </row>
    <row r="5631" spans="1:4" x14ac:dyDescent="0.25">
      <c r="A5631" t="str">
        <f>T("   820551")</f>
        <v xml:space="preserve">   820551</v>
      </c>
      <c r="B5631" t="str">
        <f>T("   Outils à main d'économie domestique, non mécaniques, avec partie travaillante en métaux communs, n.d.a.")</f>
        <v xml:space="preserve">   Outils à main d'économie domestique, non mécaniques, avec partie travaillante en métaux communs, n.d.a.</v>
      </c>
      <c r="C5631">
        <v>303454</v>
      </c>
      <c r="D5631">
        <v>908</v>
      </c>
    </row>
    <row r="5632" spans="1:4" x14ac:dyDescent="0.25">
      <c r="A5632" t="str">
        <f>T("   821599")</f>
        <v xml:space="preserve">   821599</v>
      </c>
      <c r="B5632" t="s">
        <v>380</v>
      </c>
      <c r="C5632">
        <v>212426</v>
      </c>
      <c r="D5632">
        <v>1668</v>
      </c>
    </row>
    <row r="5633" spans="1:4" x14ac:dyDescent="0.25">
      <c r="A5633" t="str">
        <f>T("   830160")</f>
        <v xml:space="preserve">   830160</v>
      </c>
      <c r="B5633" t="str">
        <f>T("   Parties des cadenas, serrures et verrous, ainsi que des fermoirs et montures-fermoirs, avec serrure, en métaux communs, n.d.a.")</f>
        <v xml:space="preserve">   Parties des cadenas, serrures et verrous, ainsi que des fermoirs et montures-fermoirs, avec serrure, en métaux communs, n.d.a.</v>
      </c>
      <c r="C5633">
        <v>49197</v>
      </c>
      <c r="D5633">
        <v>400</v>
      </c>
    </row>
    <row r="5634" spans="1:4" x14ac:dyDescent="0.25">
      <c r="A5634" t="str">
        <f>T("   840734")</f>
        <v xml:space="preserve">   840734</v>
      </c>
      <c r="B5634" t="s">
        <v>390</v>
      </c>
      <c r="C5634">
        <v>3397217</v>
      </c>
      <c r="D5634">
        <v>7900</v>
      </c>
    </row>
    <row r="5635" spans="1:4" x14ac:dyDescent="0.25">
      <c r="A5635" t="str">
        <f>T("   840999")</f>
        <v xml:space="preserve">   840999</v>
      </c>
      <c r="B5635"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5635">
        <v>2369007</v>
      </c>
      <c r="D5635">
        <v>2077</v>
      </c>
    </row>
    <row r="5636" spans="1:4" x14ac:dyDescent="0.25">
      <c r="A5636" t="str">
        <f>T("   841320")</f>
        <v xml:space="preserve">   841320</v>
      </c>
      <c r="B5636"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5636">
        <v>187519</v>
      </c>
      <c r="D5636">
        <v>490</v>
      </c>
    </row>
    <row r="5637" spans="1:4" x14ac:dyDescent="0.25">
      <c r="A5637" t="str">
        <f>T("   841451")</f>
        <v xml:space="preserve">   841451</v>
      </c>
      <c r="B5637"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5637">
        <v>12973066</v>
      </c>
      <c r="D5637">
        <v>9114</v>
      </c>
    </row>
    <row r="5638" spans="1:4" x14ac:dyDescent="0.25">
      <c r="A5638" t="str">
        <f>T("   841459")</f>
        <v xml:space="preserve">   841459</v>
      </c>
      <c r="B5638"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5638">
        <v>35617038</v>
      </c>
      <c r="D5638">
        <v>29258</v>
      </c>
    </row>
    <row r="5639" spans="1:4" x14ac:dyDescent="0.25">
      <c r="A5639" t="str">
        <f>T("   841490")</f>
        <v xml:space="preserve">   841490</v>
      </c>
      <c r="B5639"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5639">
        <v>48593</v>
      </c>
      <c r="D5639">
        <v>40</v>
      </c>
    </row>
    <row r="5640" spans="1:4" x14ac:dyDescent="0.25">
      <c r="A5640" t="str">
        <f>T("   841510")</f>
        <v xml:space="preserve">   841510</v>
      </c>
      <c r="B5640" t="s">
        <v>400</v>
      </c>
      <c r="C5640">
        <v>3907117</v>
      </c>
      <c r="D5640">
        <v>1630</v>
      </c>
    </row>
    <row r="5641" spans="1:4" x14ac:dyDescent="0.25">
      <c r="A5641" t="str">
        <f>T("   841582")</f>
        <v xml:space="preserve">   841582</v>
      </c>
      <c r="B5641" t="s">
        <v>402</v>
      </c>
      <c r="C5641">
        <v>776975</v>
      </c>
      <c r="D5641">
        <v>329</v>
      </c>
    </row>
    <row r="5642" spans="1:4" x14ac:dyDescent="0.25">
      <c r="A5642" t="str">
        <f>T("   841810")</f>
        <v xml:space="preserve">   841810</v>
      </c>
      <c r="B5642" t="str">
        <f>T("   Réfrigérateurs et congélateurs-conservateurs combinés, avec portes extérieures séparées")</f>
        <v xml:space="preserve">   Réfrigérateurs et congélateurs-conservateurs combinés, avec portes extérieures séparées</v>
      </c>
      <c r="C5642">
        <v>5113578</v>
      </c>
      <c r="D5642">
        <v>23070</v>
      </c>
    </row>
    <row r="5643" spans="1:4" x14ac:dyDescent="0.25">
      <c r="A5643" t="str">
        <f>T("   841821")</f>
        <v xml:space="preserve">   841821</v>
      </c>
      <c r="B5643" t="str">
        <f>T("   Réfrigérateurs ménagers à compression")</f>
        <v xml:space="preserve">   Réfrigérateurs ménagers à compression</v>
      </c>
      <c r="C5643">
        <v>9059349</v>
      </c>
      <c r="D5643">
        <v>225</v>
      </c>
    </row>
    <row r="5644" spans="1:4" x14ac:dyDescent="0.25">
      <c r="A5644" t="str">
        <f>T("   841829")</f>
        <v xml:space="preserve">   841829</v>
      </c>
      <c r="B5644" t="str">
        <f>T("   Réfrigérateurs ménagers à absorption, non-électriques")</f>
        <v xml:space="preserve">   Réfrigérateurs ménagers à absorption, non-électriques</v>
      </c>
      <c r="C5644">
        <v>188351634</v>
      </c>
      <c r="D5644">
        <v>529584</v>
      </c>
    </row>
    <row r="5645" spans="1:4" x14ac:dyDescent="0.25">
      <c r="A5645" t="str">
        <f>T("   841850")</f>
        <v xml:space="preserve">   841850</v>
      </c>
      <c r="B5645" t="s">
        <v>404</v>
      </c>
      <c r="C5645">
        <v>2434062</v>
      </c>
      <c r="D5645">
        <v>1143</v>
      </c>
    </row>
    <row r="5646" spans="1:4" x14ac:dyDescent="0.25">
      <c r="A5646" t="str">
        <f>T("   841869")</f>
        <v xml:space="preserve">   841869</v>
      </c>
      <c r="B5646"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5646">
        <v>3297974</v>
      </c>
      <c r="D5646">
        <v>677</v>
      </c>
    </row>
    <row r="5647" spans="1:4" x14ac:dyDescent="0.25">
      <c r="A5647" t="str">
        <f>T("   841939")</f>
        <v xml:space="preserve">   841939</v>
      </c>
      <c r="B5647" t="str">
        <f>T("   Séchoirs (sauf pour produits agricoles, pâtes à papier, papier ou carton, pour fils, tissus ou autres matières textiles, pour bouteilles ou autres récipients, sèche-cheveux, sèche-mains et sauf appareils ménagers)")</f>
        <v xml:space="preserve">   Séchoirs (sauf pour produits agricoles, pâtes à papier, papier ou carton, pour fils, tissus ou autres matières textiles, pour bouteilles ou autres récipients, sèche-cheveux, sèche-mains et sauf appareils ménagers)</v>
      </c>
      <c r="C5647">
        <v>4794</v>
      </c>
      <c r="D5647">
        <v>5</v>
      </c>
    </row>
    <row r="5648" spans="1:4" x14ac:dyDescent="0.25">
      <c r="A5648" t="str">
        <f>T("   841990")</f>
        <v xml:space="preserve">   841990</v>
      </c>
      <c r="B5648" t="str">
        <f>T("   Parties d'appareils et dispositifs, même chauffés électriquement, pour le traitement de matières par des opérations impliquant un changement de température, ainsi que de chauffe-eau non-électriques à chauffage instantané ou à accumulation, n.d.a.")</f>
        <v xml:space="preserve">   Parties d'appareils et dispositifs, même chauffés électriquement, pour le traitement de matières par des opérations impliquant un changement de température, ainsi que de chauffe-eau non-électriques à chauffage instantané ou à accumulation, n.d.a.</v>
      </c>
      <c r="C5648">
        <v>846441</v>
      </c>
      <c r="D5648">
        <v>2</v>
      </c>
    </row>
    <row r="5649" spans="1:4" x14ac:dyDescent="0.25">
      <c r="A5649" t="str">
        <f>T("   842139")</f>
        <v xml:space="preserve">   842139</v>
      </c>
      <c r="B5649"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5649">
        <v>554300</v>
      </c>
      <c r="D5649">
        <v>3</v>
      </c>
    </row>
    <row r="5650" spans="1:4" x14ac:dyDescent="0.25">
      <c r="A5650" t="str">
        <f>T("   842240")</f>
        <v xml:space="preserve">   842240</v>
      </c>
      <c r="B5650" t="s">
        <v>406</v>
      </c>
      <c r="C5650">
        <v>1622535</v>
      </c>
      <c r="D5650">
        <v>25</v>
      </c>
    </row>
    <row r="5651" spans="1:4" x14ac:dyDescent="0.25">
      <c r="A5651" t="str">
        <f>T("   842290")</f>
        <v xml:space="preserve">   842290</v>
      </c>
      <c r="B5651"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5651">
        <v>48798964</v>
      </c>
      <c r="D5651">
        <v>892</v>
      </c>
    </row>
    <row r="5652" spans="1:4" x14ac:dyDescent="0.25">
      <c r="A5652" t="str">
        <f>T("   842310")</f>
        <v xml:space="preserve">   842310</v>
      </c>
      <c r="B5652" t="str">
        <f>T("   Pèse-personnes, y.c. les pèse-bébés; balances de ménage")</f>
        <v xml:space="preserve">   Pèse-personnes, y.c. les pèse-bébés; balances de ménage</v>
      </c>
      <c r="C5652">
        <v>2801592</v>
      </c>
      <c r="D5652">
        <v>3237</v>
      </c>
    </row>
    <row r="5653" spans="1:4" x14ac:dyDescent="0.25">
      <c r="A5653" t="str">
        <f>T("   842481")</f>
        <v xml:space="preserve">   842481</v>
      </c>
      <c r="B5653"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5653">
        <v>118072800</v>
      </c>
      <c r="D5653">
        <v>10385</v>
      </c>
    </row>
    <row r="5654" spans="1:4" x14ac:dyDescent="0.25">
      <c r="A5654" t="str">
        <f>T("   842649")</f>
        <v xml:space="preserve">   842649</v>
      </c>
      <c r="B5654" t="str">
        <f>T("   Bigues et chariots-grues et appareils autopropulsés (autres que sur pneumatiques et sauf chariots-cavaliers)")</f>
        <v xml:space="preserve">   Bigues et chariots-grues et appareils autopropulsés (autres que sur pneumatiques et sauf chariots-cavaliers)</v>
      </c>
      <c r="C5654">
        <v>7706966</v>
      </c>
      <c r="D5654">
        <v>15000</v>
      </c>
    </row>
    <row r="5655" spans="1:4" x14ac:dyDescent="0.25">
      <c r="A5655" t="str">
        <f>T("   842919")</f>
        <v xml:space="preserve">   842919</v>
      </c>
      <c r="B5655" t="str">
        <f>T("   Bouteurs 'bulldozers' et bouteurs biais 'angledozers', sur roues")</f>
        <v xml:space="preserve">   Bouteurs 'bulldozers' et bouteurs biais 'angledozers', sur roues</v>
      </c>
      <c r="C5655">
        <v>15077198</v>
      </c>
      <c r="D5655">
        <v>16500</v>
      </c>
    </row>
    <row r="5656" spans="1:4" x14ac:dyDescent="0.25">
      <c r="A5656" t="str">
        <f>T("   842920")</f>
        <v xml:space="preserve">   842920</v>
      </c>
      <c r="B5656" t="str">
        <f>T("   Niveleuses autopropulsées")</f>
        <v xml:space="preserve">   Niveleuses autopropulsées</v>
      </c>
      <c r="C5656">
        <v>29564748</v>
      </c>
      <c r="D5656">
        <v>45000</v>
      </c>
    </row>
    <row r="5657" spans="1:4" x14ac:dyDescent="0.25">
      <c r="A5657" t="str">
        <f>T("   842940")</f>
        <v xml:space="preserve">   842940</v>
      </c>
      <c r="B5657" t="str">
        <f>T("   Rouleaux compresseurs et autres compacteuses, autopropulsés")</f>
        <v xml:space="preserve">   Rouleaux compresseurs et autres compacteuses, autopropulsés</v>
      </c>
      <c r="C5657">
        <v>7784954</v>
      </c>
      <c r="D5657">
        <v>10700</v>
      </c>
    </row>
    <row r="5658" spans="1:4" x14ac:dyDescent="0.25">
      <c r="A5658" t="str">
        <f>T("   842951")</f>
        <v xml:space="preserve">   842951</v>
      </c>
      <c r="B5658" t="str">
        <f>T("   Chargeuses et chargeuses-pelleteuses, à chargement frontal, autopropulsées")</f>
        <v xml:space="preserve">   Chargeuses et chargeuses-pelleteuses, à chargement frontal, autopropulsées</v>
      </c>
      <c r="C5658">
        <v>10932900</v>
      </c>
      <c r="D5658">
        <v>14700</v>
      </c>
    </row>
    <row r="5659" spans="1:4" x14ac:dyDescent="0.25">
      <c r="A5659" t="str">
        <f>T("   842959")</f>
        <v xml:space="preserve">   842959</v>
      </c>
      <c r="B5659"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5659">
        <v>26044354</v>
      </c>
      <c r="D5659">
        <v>49210</v>
      </c>
    </row>
    <row r="5660" spans="1:4" x14ac:dyDescent="0.25">
      <c r="A5660" t="str">
        <f>T("   843039")</f>
        <v xml:space="preserve">   843039</v>
      </c>
      <c r="B5660" t="str">
        <f>T("   Haveuses, abatteuses et autres machines à creuser les tunnels ou les galeries, non autopropulsées (à l'excl. de l'outillage pour emploi à la main et du soutènement marchant hydraulique pour mines)")</f>
        <v xml:space="preserve">   Haveuses, abatteuses et autres machines à creuser les tunnels ou les galeries, non autopropulsées (à l'excl. de l'outillage pour emploi à la main et du soutènement marchant hydraulique pour mines)</v>
      </c>
      <c r="C5660">
        <v>500497</v>
      </c>
      <c r="D5660">
        <v>300</v>
      </c>
    </row>
    <row r="5661" spans="1:4" x14ac:dyDescent="0.25">
      <c r="A5661" t="str">
        <f>T("   843120")</f>
        <v xml:space="preserve">   843120</v>
      </c>
      <c r="B5661" t="str">
        <f>T("   Parties de chariots-gerbeurs et autres chariots de manutention munis d'un dispositif de levage, n.d.a.")</f>
        <v xml:space="preserve">   Parties de chariots-gerbeurs et autres chariots de manutention munis d'un dispositif de levage, n.d.a.</v>
      </c>
      <c r="C5661">
        <v>23321411</v>
      </c>
      <c r="D5661">
        <v>1460.6</v>
      </c>
    </row>
    <row r="5662" spans="1:4" x14ac:dyDescent="0.25">
      <c r="A5662" t="str">
        <f>T("   843149")</f>
        <v xml:space="preserve">   843149</v>
      </c>
      <c r="B5662" t="str">
        <f>T("   Parties de machines et appareils du n° 8426, 8429 ou 8430, n.d.a.")</f>
        <v xml:space="preserve">   Parties de machines et appareils du n° 8426, 8429 ou 8430, n.d.a.</v>
      </c>
      <c r="C5662">
        <v>19152103</v>
      </c>
      <c r="D5662">
        <v>641.24</v>
      </c>
    </row>
    <row r="5663" spans="1:4" x14ac:dyDescent="0.25">
      <c r="A5663" t="str">
        <f>T("   843780")</f>
        <v xml:space="preserve">   843780</v>
      </c>
      <c r="B5663" t="s">
        <v>415</v>
      </c>
      <c r="C5663">
        <v>1418841</v>
      </c>
      <c r="D5663">
        <v>17767</v>
      </c>
    </row>
    <row r="5664" spans="1:4" x14ac:dyDescent="0.25">
      <c r="A5664" t="str">
        <f>T("   845011")</f>
        <v xml:space="preserve">   845011</v>
      </c>
      <c r="B5664" t="str">
        <f>T("   Machines à laver le linge entièrement automatiques, d'une capacité unitaire exprimée en poids de linge sec &lt;= 6 kg")</f>
        <v xml:space="preserve">   Machines à laver le linge entièrement automatiques, d'une capacité unitaire exprimée en poids de linge sec &lt;= 6 kg</v>
      </c>
      <c r="C5664">
        <v>2734730</v>
      </c>
      <c r="D5664">
        <v>1223</v>
      </c>
    </row>
    <row r="5665" spans="1:4" x14ac:dyDescent="0.25">
      <c r="A5665" t="str">
        <f>T("   845019")</f>
        <v xml:space="preserve">   845019</v>
      </c>
      <c r="B5665"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5665">
        <v>1455101</v>
      </c>
      <c r="D5665">
        <v>555</v>
      </c>
    </row>
    <row r="5666" spans="1:4" x14ac:dyDescent="0.25">
      <c r="A5666" t="str">
        <f>T("   847050")</f>
        <v xml:space="preserve">   847050</v>
      </c>
      <c r="B5666" t="str">
        <f>T("   Caisses enregistreuses comportant un dispositif de calcul")</f>
        <v xml:space="preserve">   Caisses enregistreuses comportant un dispositif de calcul</v>
      </c>
      <c r="C5666">
        <v>550749</v>
      </c>
      <c r="D5666">
        <v>257</v>
      </c>
    </row>
    <row r="5667" spans="1:4" x14ac:dyDescent="0.25">
      <c r="A5667" t="str">
        <f>T("   847141")</f>
        <v xml:space="preserve">   847141</v>
      </c>
      <c r="B5667" t="s">
        <v>434</v>
      </c>
      <c r="C5667">
        <v>262384</v>
      </c>
      <c r="D5667">
        <v>500</v>
      </c>
    </row>
    <row r="5668" spans="1:4" x14ac:dyDescent="0.25">
      <c r="A5668" t="str">
        <f>T("   847149")</f>
        <v xml:space="preserve">   847149</v>
      </c>
      <c r="B5668" t="s">
        <v>435</v>
      </c>
      <c r="C5668">
        <v>373611</v>
      </c>
      <c r="D5668">
        <v>5409</v>
      </c>
    </row>
    <row r="5669" spans="1:4" x14ac:dyDescent="0.25">
      <c r="A5669" t="str">
        <f>T("   847160")</f>
        <v xml:space="preserve">   847160</v>
      </c>
      <c r="B5669"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5669">
        <v>37548086</v>
      </c>
      <c r="D5669">
        <v>3462</v>
      </c>
    </row>
    <row r="5670" spans="1:4" x14ac:dyDescent="0.25">
      <c r="A5670" t="str">
        <f>T("   847170")</f>
        <v xml:space="preserve">   847170</v>
      </c>
      <c r="B5670" t="str">
        <f>T("   UNITÉS DE MÉMOIRE POUR MACHINES AUTOMATIQUES DE TRAITEMENT DE L'INFORMATION")</f>
        <v xml:space="preserve">   UNITÉS DE MÉMOIRE POUR MACHINES AUTOMATIQUES DE TRAITEMENT DE L'INFORMATION</v>
      </c>
      <c r="C5670">
        <v>511946</v>
      </c>
      <c r="D5670">
        <v>3</v>
      </c>
    </row>
    <row r="5671" spans="1:4" x14ac:dyDescent="0.25">
      <c r="A5671" t="str">
        <f>T("   847180")</f>
        <v xml:space="preserve">   847180</v>
      </c>
      <c r="B5671"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5671">
        <v>38318861</v>
      </c>
      <c r="D5671">
        <v>363</v>
      </c>
    </row>
    <row r="5672" spans="1:4" x14ac:dyDescent="0.25">
      <c r="A5672" t="str">
        <f>T("   847190")</f>
        <v xml:space="preserve">   847190</v>
      </c>
      <c r="B5672"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5672">
        <v>27701775</v>
      </c>
      <c r="D5672">
        <v>221</v>
      </c>
    </row>
    <row r="5673" spans="1:4" x14ac:dyDescent="0.25">
      <c r="A5673" t="str">
        <f>T("   847290")</f>
        <v xml:space="preserve">   847290</v>
      </c>
      <c r="B5673" t="str">
        <f>T("   Machines et appareils de bureau, n.d.a.")</f>
        <v xml:space="preserve">   Machines et appareils de bureau, n.d.a.</v>
      </c>
      <c r="C5673">
        <v>6541689</v>
      </c>
      <c r="D5673">
        <v>765</v>
      </c>
    </row>
    <row r="5674" spans="1:4" x14ac:dyDescent="0.25">
      <c r="A5674" t="str">
        <f>T("   847330")</f>
        <v xml:space="preserve">   847330</v>
      </c>
      <c r="B5674" t="str">
        <f>T("   Parties et accessoires pour machines automatiques de traitement de l'information ou pour autres machines du n° 8471, n.d.a.")</f>
        <v xml:space="preserve">   Parties et accessoires pour machines automatiques de traitement de l'information ou pour autres machines du n° 8471, n.d.a.</v>
      </c>
      <c r="C5674">
        <v>175468</v>
      </c>
      <c r="D5674">
        <v>9</v>
      </c>
    </row>
    <row r="5675" spans="1:4" x14ac:dyDescent="0.25">
      <c r="A5675" t="str">
        <f>T("   848210")</f>
        <v xml:space="preserve">   848210</v>
      </c>
      <c r="B5675" t="str">
        <f>T("   Roulements à billes")</f>
        <v xml:space="preserve">   Roulements à billes</v>
      </c>
      <c r="C5675">
        <v>2042371</v>
      </c>
      <c r="D5675">
        <v>212</v>
      </c>
    </row>
    <row r="5676" spans="1:4" x14ac:dyDescent="0.25">
      <c r="A5676" t="str">
        <f>T("   848340")</f>
        <v xml:space="preserve">   848340</v>
      </c>
      <c r="B5676" t="s">
        <v>443</v>
      </c>
      <c r="C5676">
        <v>538451</v>
      </c>
      <c r="D5676">
        <v>3</v>
      </c>
    </row>
    <row r="5677" spans="1:4" x14ac:dyDescent="0.25">
      <c r="A5677" t="str">
        <f>T("   848490")</f>
        <v xml:space="preserve">   848490</v>
      </c>
      <c r="B5677" t="str">
        <f>T("   Jeux ou assortiments de joints de composition différente présentés en pochettes, enveloppes ou emballages analogues")</f>
        <v xml:space="preserve">   Jeux ou assortiments de joints de composition différente présentés en pochettes, enveloppes ou emballages analogues</v>
      </c>
      <c r="C5677">
        <v>426623</v>
      </c>
      <c r="D5677">
        <v>8</v>
      </c>
    </row>
    <row r="5678" spans="1:4" x14ac:dyDescent="0.25">
      <c r="A5678" t="str">
        <f>T("   850211")</f>
        <v xml:space="preserve">   850211</v>
      </c>
      <c r="B5678" t="s">
        <v>444</v>
      </c>
      <c r="C5678">
        <v>38821681</v>
      </c>
      <c r="D5678">
        <v>7991</v>
      </c>
    </row>
    <row r="5679" spans="1:4" x14ac:dyDescent="0.25">
      <c r="A5679" t="str">
        <f>T("   850213")</f>
        <v xml:space="preserve">   850213</v>
      </c>
      <c r="B5679" t="s">
        <v>445</v>
      </c>
      <c r="C5679">
        <v>27985310</v>
      </c>
      <c r="D5679">
        <v>15443</v>
      </c>
    </row>
    <row r="5680" spans="1:4" x14ac:dyDescent="0.25">
      <c r="A5680" t="str">
        <f>T("   850239")</f>
        <v xml:space="preserve">   850239</v>
      </c>
      <c r="B5680" t="str">
        <f>T("   Groupes électrogènes (autres qu'à énergie éolienne et à moteurs à piston)")</f>
        <v xml:space="preserve">   Groupes électrogènes (autres qu'à énergie éolienne et à moteurs à piston)</v>
      </c>
      <c r="C5680">
        <v>1036417</v>
      </c>
      <c r="D5680">
        <v>2500</v>
      </c>
    </row>
    <row r="5681" spans="1:4" x14ac:dyDescent="0.25">
      <c r="A5681" t="str">
        <f>T("   850440")</f>
        <v xml:space="preserve">   850440</v>
      </c>
      <c r="B5681" t="str">
        <f>T("   CONVERTISSEURS STATIQUES")</f>
        <v xml:space="preserve">   CONVERTISSEURS STATIQUES</v>
      </c>
      <c r="C5681">
        <v>123243882</v>
      </c>
      <c r="D5681">
        <v>18695</v>
      </c>
    </row>
    <row r="5682" spans="1:4" x14ac:dyDescent="0.25">
      <c r="A5682" t="str">
        <f>T("   850610")</f>
        <v xml:space="preserve">   850610</v>
      </c>
      <c r="B5682" t="str">
        <f>T("   Piles et batteries de piles électriques, au bioxyde de manganèse (sauf hors d'usage)")</f>
        <v xml:space="preserve">   Piles et batteries de piles électriques, au bioxyde de manganèse (sauf hors d'usage)</v>
      </c>
      <c r="C5682">
        <v>10685</v>
      </c>
      <c r="D5682">
        <v>5</v>
      </c>
    </row>
    <row r="5683" spans="1:4" x14ac:dyDescent="0.25">
      <c r="A5683" t="str">
        <f>T("   850680")</f>
        <v xml:space="preserve">   850680</v>
      </c>
      <c r="B5683"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5683">
        <v>954822</v>
      </c>
      <c r="D5683">
        <v>449</v>
      </c>
    </row>
    <row r="5684" spans="1:4" x14ac:dyDescent="0.25">
      <c r="A5684" t="str">
        <f>T("   850940")</f>
        <v xml:space="preserve">   850940</v>
      </c>
      <c r="B5684"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5684">
        <v>13614103</v>
      </c>
      <c r="D5684">
        <v>16023</v>
      </c>
    </row>
    <row r="5685" spans="1:4" x14ac:dyDescent="0.25">
      <c r="A5685" t="str">
        <f>T("   851220")</f>
        <v xml:space="preserve">   851220</v>
      </c>
      <c r="B5685" t="str">
        <f>T("   Appareils électriques d'éclairage ou de signalisation visuelle, pour automobiles (à l'excl. des lampes du n° 8539)")</f>
        <v xml:space="preserve">   Appareils électriques d'éclairage ou de signalisation visuelle, pour automobiles (à l'excl. des lampes du n° 8539)</v>
      </c>
      <c r="C5685">
        <v>3895805</v>
      </c>
      <c r="D5685">
        <v>60.02</v>
      </c>
    </row>
    <row r="5686" spans="1:4" x14ac:dyDescent="0.25">
      <c r="A5686" t="str">
        <f>T("   851310")</f>
        <v xml:space="preserve">   851310</v>
      </c>
      <c r="B5686" t="str">
        <f>T("   Lampes électriques portatives, destinées à fonctionner au moyen de leur propre source d'énergie")</f>
        <v xml:space="preserve">   Lampes électriques portatives, destinées à fonctionner au moyen de leur propre source d'énergie</v>
      </c>
      <c r="C5686">
        <v>93655</v>
      </c>
      <c r="D5686">
        <v>44</v>
      </c>
    </row>
    <row r="5687" spans="1:4" x14ac:dyDescent="0.25">
      <c r="A5687" t="str">
        <f>T("   851610")</f>
        <v xml:space="preserve">   851610</v>
      </c>
      <c r="B5687" t="str">
        <f>T("   Chauffe-eau et thermoplongeurs électriques")</f>
        <v xml:space="preserve">   Chauffe-eau et thermoplongeurs électriques</v>
      </c>
      <c r="C5687">
        <v>573965</v>
      </c>
      <c r="D5687">
        <v>3744</v>
      </c>
    </row>
    <row r="5688" spans="1:4" x14ac:dyDescent="0.25">
      <c r="A5688" t="str">
        <f>T("   851640")</f>
        <v xml:space="preserve">   851640</v>
      </c>
      <c r="B5688" t="str">
        <f>T("   Fers à repasser électriques")</f>
        <v xml:space="preserve">   Fers à repasser électriques</v>
      </c>
      <c r="C5688">
        <v>2875061</v>
      </c>
      <c r="D5688">
        <v>24033</v>
      </c>
    </row>
    <row r="5689" spans="1:4" x14ac:dyDescent="0.25">
      <c r="A5689" t="str">
        <f>T("   851650")</f>
        <v xml:space="preserve">   851650</v>
      </c>
      <c r="B5689" t="str">
        <f>T("   Fours à micro-ondes")</f>
        <v xml:space="preserve">   Fours à micro-ondes</v>
      </c>
      <c r="C5689">
        <v>1957235</v>
      </c>
      <c r="D5689">
        <v>867</v>
      </c>
    </row>
    <row r="5690" spans="1:4" x14ac:dyDescent="0.25">
      <c r="A5690" t="str">
        <f>T("   851660")</f>
        <v xml:space="preserve">   851660</v>
      </c>
      <c r="B5690"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5690">
        <v>553221</v>
      </c>
      <c r="D5690">
        <v>147</v>
      </c>
    </row>
    <row r="5691" spans="1:4" x14ac:dyDescent="0.25">
      <c r="A5691" t="str">
        <f>T("   851711")</f>
        <v xml:space="preserve">   851711</v>
      </c>
      <c r="B5691" t="str">
        <f>T("   Postes téléphoniques d'usagers pour la téléphonie par fil à combinés sans fil")</f>
        <v xml:space="preserve">   Postes téléphoniques d'usagers pour la téléphonie par fil à combinés sans fil</v>
      </c>
      <c r="C5691">
        <v>17469226</v>
      </c>
      <c r="D5691">
        <v>1761</v>
      </c>
    </row>
    <row r="5692" spans="1:4" x14ac:dyDescent="0.25">
      <c r="A5692" t="str">
        <f>T("   851719")</f>
        <v xml:space="preserve">   851719</v>
      </c>
      <c r="B5692"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5692">
        <v>777454</v>
      </c>
      <c r="D5692">
        <v>305</v>
      </c>
    </row>
    <row r="5693" spans="1:4" x14ac:dyDescent="0.25">
      <c r="A5693" t="str">
        <f>T("   851721")</f>
        <v xml:space="preserve">   851721</v>
      </c>
      <c r="B5693" t="str">
        <f>T("   Télécopieurs pour la téléphonie par fil")</f>
        <v xml:space="preserve">   Télécopieurs pour la téléphonie par fil</v>
      </c>
      <c r="C5693">
        <v>186457</v>
      </c>
      <c r="D5693">
        <v>78</v>
      </c>
    </row>
    <row r="5694" spans="1:4" x14ac:dyDescent="0.25">
      <c r="A5694" t="str">
        <f>T("   851829")</f>
        <v xml:space="preserve">   851829</v>
      </c>
      <c r="B5694" t="str">
        <f>T("   Haut-parleurs sans enceinte")</f>
        <v xml:space="preserve">   Haut-parleurs sans enceinte</v>
      </c>
      <c r="C5694">
        <v>44134</v>
      </c>
      <c r="D5694">
        <v>500</v>
      </c>
    </row>
    <row r="5695" spans="1:4" x14ac:dyDescent="0.25">
      <c r="A5695" t="str">
        <f>T("   852090")</f>
        <v xml:space="preserve">   852090</v>
      </c>
      <c r="B5695"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5695">
        <v>89777</v>
      </c>
      <c r="D5695">
        <v>42</v>
      </c>
    </row>
    <row r="5696" spans="1:4" x14ac:dyDescent="0.25">
      <c r="A5696" t="str">
        <f>T("   852190")</f>
        <v xml:space="preserve">   852190</v>
      </c>
      <c r="B5696" t="s">
        <v>457</v>
      </c>
      <c r="C5696">
        <v>3001066</v>
      </c>
      <c r="D5696">
        <v>5644</v>
      </c>
    </row>
    <row r="5697" spans="1:4" x14ac:dyDescent="0.25">
      <c r="A5697" t="str">
        <f>T("   852510")</f>
        <v xml:space="preserve">   852510</v>
      </c>
      <c r="B5697" t="str">
        <f>T("   Appareils d'émission, pour la radiotéléphonie, la radiotélégraphie, la radiodiffusion ou la télévision")</f>
        <v xml:space="preserve">   Appareils d'émission, pour la radiotéléphonie, la radiotélégraphie, la radiodiffusion ou la télévision</v>
      </c>
      <c r="C5697">
        <v>59036</v>
      </c>
      <c r="D5697">
        <v>1662</v>
      </c>
    </row>
    <row r="5698" spans="1:4" x14ac:dyDescent="0.25">
      <c r="A5698" t="str">
        <f>T("   852530")</f>
        <v xml:space="preserve">   852530</v>
      </c>
      <c r="B5698" t="str">
        <f>T("   Caméras de télévision (à l'excl. de caméscopes)")</f>
        <v xml:space="preserve">   Caméras de télévision (à l'excl. de caméscopes)</v>
      </c>
      <c r="C5698">
        <v>341099</v>
      </c>
      <c r="D5698">
        <v>2782</v>
      </c>
    </row>
    <row r="5699" spans="1:4" x14ac:dyDescent="0.25">
      <c r="A5699" t="str">
        <f>T("   852540")</f>
        <v xml:space="preserve">   852540</v>
      </c>
      <c r="B5699" t="str">
        <f>T("   Appareils de prise de vues fixes vidéo et autres caméscopes; appareils photographiques numériques")</f>
        <v xml:space="preserve">   Appareils de prise de vues fixes vidéo et autres caméscopes; appareils photographiques numériques</v>
      </c>
      <c r="C5699">
        <v>368576</v>
      </c>
      <c r="D5699">
        <v>148</v>
      </c>
    </row>
    <row r="5700" spans="1:4" x14ac:dyDescent="0.25">
      <c r="A5700" t="str">
        <f>T("   852713")</f>
        <v xml:space="preserve">   852713</v>
      </c>
      <c r="B5700"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5700">
        <v>4190894</v>
      </c>
      <c r="D5700">
        <v>3017</v>
      </c>
    </row>
    <row r="5701" spans="1:4" x14ac:dyDescent="0.25">
      <c r="A5701" t="str">
        <f>T("   852719")</f>
        <v xml:space="preserve">   852719</v>
      </c>
      <c r="B5701"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5701">
        <v>13189031</v>
      </c>
      <c r="D5701">
        <v>83900</v>
      </c>
    </row>
    <row r="5702" spans="1:4" x14ac:dyDescent="0.25">
      <c r="A5702" t="str">
        <f>T("   852812")</f>
        <v xml:space="preserve">   852812</v>
      </c>
      <c r="B5702"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5702">
        <v>57495613</v>
      </c>
      <c r="D5702">
        <v>185464</v>
      </c>
    </row>
    <row r="5703" spans="1:4" x14ac:dyDescent="0.25">
      <c r="A5703" t="str">
        <f>T("   852910")</f>
        <v xml:space="preserve">   852910</v>
      </c>
      <c r="B5703"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5703">
        <v>432535</v>
      </c>
      <c r="D5703">
        <v>6000</v>
      </c>
    </row>
    <row r="5704" spans="1:4" x14ac:dyDescent="0.25">
      <c r="A5704" t="str">
        <f>T("   852990")</f>
        <v xml:space="preserve">   852990</v>
      </c>
      <c r="B5704" t="s">
        <v>464</v>
      </c>
      <c r="C5704">
        <v>5920594</v>
      </c>
      <c r="D5704">
        <v>10853</v>
      </c>
    </row>
    <row r="5705" spans="1:4" x14ac:dyDescent="0.25">
      <c r="A5705" t="str">
        <f>T("   853510")</f>
        <v xml:space="preserve">   853510</v>
      </c>
      <c r="B5705" t="str">
        <f>T("   Fusibles et coupe-circuit à fusibles, pour une tension &gt; 1.000 V")</f>
        <v xml:space="preserve">   Fusibles et coupe-circuit à fusibles, pour une tension &gt; 1.000 V</v>
      </c>
      <c r="C5705">
        <v>243318</v>
      </c>
      <c r="D5705">
        <v>9</v>
      </c>
    </row>
    <row r="5706" spans="1:4" x14ac:dyDescent="0.25">
      <c r="A5706" t="str">
        <f>T("   853610")</f>
        <v xml:space="preserve">   853610</v>
      </c>
      <c r="B5706" t="str">
        <f>T("   Fusibles et coupe-circuit à fusibles, pour une tension &lt;= 1.000 V")</f>
        <v xml:space="preserve">   Fusibles et coupe-circuit à fusibles, pour une tension &lt;= 1.000 V</v>
      </c>
      <c r="C5706">
        <v>4764041</v>
      </c>
      <c r="D5706">
        <v>23</v>
      </c>
    </row>
    <row r="5707" spans="1:4" x14ac:dyDescent="0.25">
      <c r="A5707" t="str">
        <f>T("   853931")</f>
        <v xml:space="preserve">   853931</v>
      </c>
      <c r="B5707" t="str">
        <f>T("   Lampes et tubes à décharge, fluorescents, à cathode chaude")</f>
        <v xml:space="preserve">   Lampes et tubes à décharge, fluorescents, à cathode chaude</v>
      </c>
      <c r="C5707">
        <v>100000</v>
      </c>
      <c r="D5707">
        <v>1780</v>
      </c>
    </row>
    <row r="5708" spans="1:4" x14ac:dyDescent="0.25">
      <c r="A5708" t="str">
        <f>T("   854210")</f>
        <v xml:space="preserve">   854210</v>
      </c>
      <c r="B5708" t="str">
        <f>T("   Cartes munies d'un circuit intégré électronique [cartes intelligentes], munies ou non d'une piste magnétique")</f>
        <v xml:space="preserve">   Cartes munies d'un circuit intégré électronique [cartes intelligentes], munies ou non d'une piste magnétique</v>
      </c>
      <c r="C5708">
        <v>1356070</v>
      </c>
      <c r="D5708">
        <v>20</v>
      </c>
    </row>
    <row r="5709" spans="1:4" x14ac:dyDescent="0.25">
      <c r="A5709" t="str">
        <f>T("   854420")</f>
        <v xml:space="preserve">   854420</v>
      </c>
      <c r="B5709" t="str">
        <f>T("   Câbles coaxiaux et autres conducteurs électriques coaxiaux, isolés")</f>
        <v xml:space="preserve">   Câbles coaxiaux et autres conducteurs électriques coaxiaux, isolés</v>
      </c>
      <c r="C5709">
        <v>3746120</v>
      </c>
      <c r="D5709">
        <v>40</v>
      </c>
    </row>
    <row r="5710" spans="1:4" x14ac:dyDescent="0.25">
      <c r="A5710" t="str">
        <f>T("   870120")</f>
        <v xml:space="preserve">   870120</v>
      </c>
      <c r="B5710" t="str">
        <f>T("   Tracteurs routiers pour semi-remorques")</f>
        <v xml:space="preserve">   Tracteurs routiers pour semi-remorques</v>
      </c>
      <c r="C5710">
        <v>2000721</v>
      </c>
      <c r="D5710">
        <v>5750</v>
      </c>
    </row>
    <row r="5711" spans="1:4" x14ac:dyDescent="0.25">
      <c r="A5711" t="str">
        <f>T("   870190")</f>
        <v xml:space="preserve">   870190</v>
      </c>
      <c r="B5711"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5711">
        <v>70483025</v>
      </c>
      <c r="D5711">
        <v>17100</v>
      </c>
    </row>
    <row r="5712" spans="1:4" x14ac:dyDescent="0.25">
      <c r="A5712" t="str">
        <f>T("   870210")</f>
        <v xml:space="preserve">   870210</v>
      </c>
      <c r="B5712" t="s">
        <v>469</v>
      </c>
      <c r="C5712">
        <v>34109919</v>
      </c>
      <c r="D5712">
        <v>3600</v>
      </c>
    </row>
    <row r="5713" spans="1:4" x14ac:dyDescent="0.25">
      <c r="A5713" t="str">
        <f>T("   870290")</f>
        <v xml:space="preserve">   870290</v>
      </c>
      <c r="B5713" t="s">
        <v>470</v>
      </c>
      <c r="C5713">
        <v>2400000</v>
      </c>
      <c r="D5713">
        <v>6000</v>
      </c>
    </row>
    <row r="5714" spans="1:4" x14ac:dyDescent="0.25">
      <c r="A5714" t="str">
        <f>T("   870322")</f>
        <v xml:space="preserve">   870322</v>
      </c>
      <c r="B5714" t="s">
        <v>472</v>
      </c>
      <c r="C5714">
        <v>29143357</v>
      </c>
      <c r="D5714">
        <v>31745</v>
      </c>
    </row>
    <row r="5715" spans="1:4" x14ac:dyDescent="0.25">
      <c r="A5715" t="str">
        <f>T("   870323")</f>
        <v xml:space="preserve">   870323</v>
      </c>
      <c r="B5715" t="s">
        <v>473</v>
      </c>
      <c r="C5715">
        <v>1200000</v>
      </c>
      <c r="D5715">
        <v>2000</v>
      </c>
    </row>
    <row r="5716" spans="1:4" x14ac:dyDescent="0.25">
      <c r="A5716" t="str">
        <f>T("   870332")</f>
        <v xml:space="preserve">   870332</v>
      </c>
      <c r="B5716" t="s">
        <v>476</v>
      </c>
      <c r="C5716">
        <v>14793076</v>
      </c>
      <c r="D5716">
        <v>3480</v>
      </c>
    </row>
    <row r="5717" spans="1:4" x14ac:dyDescent="0.25">
      <c r="A5717" t="str">
        <f>T("   870333")</f>
        <v xml:space="preserve">   870333</v>
      </c>
      <c r="B5717" t="s">
        <v>477</v>
      </c>
      <c r="C5717">
        <v>33134110</v>
      </c>
      <c r="D5717">
        <v>2570</v>
      </c>
    </row>
    <row r="5718" spans="1:4" x14ac:dyDescent="0.25">
      <c r="A5718" t="str">
        <f>T("   870421")</f>
        <v xml:space="preserve">   870421</v>
      </c>
      <c r="B5718" t="s">
        <v>478</v>
      </c>
      <c r="C5718">
        <v>1200000</v>
      </c>
      <c r="D5718">
        <v>2100</v>
      </c>
    </row>
    <row r="5719" spans="1:4" x14ac:dyDescent="0.25">
      <c r="A5719" t="str">
        <f>T("   870422")</f>
        <v xml:space="preserve">   870422</v>
      </c>
      <c r="B5719" t="s">
        <v>479</v>
      </c>
      <c r="C5719">
        <v>33321893</v>
      </c>
      <c r="D5719">
        <v>115780</v>
      </c>
    </row>
    <row r="5720" spans="1:4" x14ac:dyDescent="0.25">
      <c r="A5720" t="str">
        <f>T("   870510")</f>
        <v xml:space="preserve">   870510</v>
      </c>
      <c r="B5720" t="str">
        <f>T("   Camions-grues (sauf dépanneuses)")</f>
        <v xml:space="preserve">   Camions-grues (sauf dépanneuses)</v>
      </c>
      <c r="C5720">
        <v>4641380</v>
      </c>
      <c r="D5720">
        <v>4000</v>
      </c>
    </row>
    <row r="5721" spans="1:4" x14ac:dyDescent="0.25">
      <c r="A5721" t="str">
        <f>T("   870590")</f>
        <v xml:space="preserve">   870590</v>
      </c>
      <c r="B5721" t="s">
        <v>483</v>
      </c>
      <c r="C5721">
        <v>7468251215</v>
      </c>
      <c r="D5721">
        <v>48000</v>
      </c>
    </row>
    <row r="5722" spans="1:4" x14ac:dyDescent="0.25">
      <c r="A5722" t="str">
        <f>T("   870870")</f>
        <v xml:space="preserve">   870870</v>
      </c>
      <c r="B5722"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5722">
        <v>17381125</v>
      </c>
      <c r="D5722">
        <v>14040</v>
      </c>
    </row>
    <row r="5723" spans="1:4" x14ac:dyDescent="0.25">
      <c r="A5723" t="str">
        <f>T("   870899")</f>
        <v xml:space="preserve">   870899</v>
      </c>
      <c r="B5723"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5723">
        <v>18163</v>
      </c>
      <c r="D5723">
        <v>100</v>
      </c>
    </row>
    <row r="5724" spans="1:4" x14ac:dyDescent="0.25">
      <c r="A5724" t="str">
        <f>T("   871120")</f>
        <v xml:space="preserve">   871120</v>
      </c>
      <c r="B5724" t="str">
        <f>T("   Motocycles à moteur à piston alternatif, cylindrée &gt; 50 cm³ mais &lt;= 250 cm³")</f>
        <v xml:space="preserve">   Motocycles à moteur à piston alternatif, cylindrée &gt; 50 cm³ mais &lt;= 250 cm³</v>
      </c>
      <c r="C5724">
        <v>483171</v>
      </c>
      <c r="D5724">
        <v>1600</v>
      </c>
    </row>
    <row r="5725" spans="1:4" x14ac:dyDescent="0.25">
      <c r="A5725" t="str">
        <f>T("   871190")</f>
        <v xml:space="preserve">   871190</v>
      </c>
      <c r="B5725" t="str">
        <f>T("   Side-cars")</f>
        <v xml:space="preserve">   Side-cars</v>
      </c>
      <c r="C5725">
        <v>320000</v>
      </c>
      <c r="D5725">
        <v>600</v>
      </c>
    </row>
    <row r="5726" spans="1:4" x14ac:dyDescent="0.25">
      <c r="A5726" t="str">
        <f>T("   871200")</f>
        <v xml:space="preserve">   871200</v>
      </c>
      <c r="B5726" t="str">
        <f>T("   BICYCLETTES ET AUTRES CYCLES, -Y.C. LES TRIPORTEURS-, SANS MOTEUR")</f>
        <v xml:space="preserve">   BICYCLETTES ET AUTRES CYCLES, -Y.C. LES TRIPORTEURS-, SANS MOTEUR</v>
      </c>
      <c r="C5726">
        <v>7345566</v>
      </c>
      <c r="D5726">
        <v>30810</v>
      </c>
    </row>
    <row r="5727" spans="1:4" x14ac:dyDescent="0.25">
      <c r="A5727" t="str">
        <f>T("   900659")</f>
        <v xml:space="preserve">   900659</v>
      </c>
      <c r="B5727" t="s">
        <v>490</v>
      </c>
      <c r="C5727">
        <v>90549</v>
      </c>
      <c r="D5727">
        <v>36</v>
      </c>
    </row>
    <row r="5728" spans="1:4" x14ac:dyDescent="0.25">
      <c r="A5728" t="str">
        <f>T("   901910")</f>
        <v xml:space="preserve">   901910</v>
      </c>
      <c r="B5728" t="str">
        <f>T("   Appareils de mécanothérapie, appareils de massage et appareils de psychotechnie")</f>
        <v xml:space="preserve">   Appareils de mécanothérapie, appareils de massage et appareils de psychotechnie</v>
      </c>
      <c r="C5728">
        <v>58309</v>
      </c>
      <c r="D5728">
        <v>651</v>
      </c>
    </row>
    <row r="5729" spans="1:4" x14ac:dyDescent="0.25">
      <c r="A5729" t="str">
        <f>T("   902620")</f>
        <v xml:space="preserve">   902620</v>
      </c>
      <c r="B5729"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5729">
        <v>690818</v>
      </c>
      <c r="D5729">
        <v>3</v>
      </c>
    </row>
    <row r="5730" spans="1:4" x14ac:dyDescent="0.25">
      <c r="A5730" t="str">
        <f>T("   902780")</f>
        <v xml:space="preserve">   902780</v>
      </c>
      <c r="B5730"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5730">
        <v>4346613</v>
      </c>
      <c r="D5730">
        <v>23</v>
      </c>
    </row>
    <row r="5731" spans="1:4" x14ac:dyDescent="0.25">
      <c r="A5731" t="str">
        <f>T("   902790")</f>
        <v xml:space="preserve">   902790</v>
      </c>
      <c r="B5731" t="s">
        <v>499</v>
      </c>
      <c r="C5731">
        <v>618826</v>
      </c>
      <c r="D5731">
        <v>9</v>
      </c>
    </row>
    <row r="5732" spans="1:4" x14ac:dyDescent="0.25">
      <c r="A5732" t="str">
        <f>T("   903289")</f>
        <v xml:space="preserve">   903289</v>
      </c>
      <c r="B5732" t="s">
        <v>501</v>
      </c>
      <c r="C5732">
        <v>128969</v>
      </c>
      <c r="D5732">
        <v>48</v>
      </c>
    </row>
    <row r="5733" spans="1:4" x14ac:dyDescent="0.25">
      <c r="A5733" t="str">
        <f>T("   910119")</f>
        <v xml:space="preserve">   910119</v>
      </c>
      <c r="B5733" t="str">
        <f>T("   Montres-bracelets, même incorporant un compteur de temps, fonctionnant électriquement, à affichage mécanique et optoélectronique, avec boîte en métaux précieux ou en plaqués ou doublés de métaux précieux (sauf celles dont le fond est en acier)")</f>
        <v xml:space="preserve">   Montres-bracelets, même incorporant un compteur de temps, fonctionnant électriquement, à affichage mécanique et optoélectronique, avec boîte en métaux précieux ou en plaqués ou doublés de métaux précieux (sauf celles dont le fond est en acier)</v>
      </c>
      <c r="C5733">
        <v>234263</v>
      </c>
      <c r="D5733">
        <v>1500</v>
      </c>
    </row>
    <row r="5734" spans="1:4" x14ac:dyDescent="0.25">
      <c r="A5734" t="str">
        <f>T("   910690")</f>
        <v xml:space="preserve">   910690</v>
      </c>
      <c r="B5734" t="str">
        <f>T("   APPAREILS DE CONTRÔLE DE TEMPS, À MOUVEMENT D'HORLOGERIE OU À MOTEUR SYNCHRONE (AUTRES QU'APPAREILS D'HORLOGERIE DU N° 9101 À 9105, HORLOGES DE POINTAGE, HORODATEURS ET HOROCOMPTEURS)")</f>
        <v xml:space="preserve">   APPAREILS DE CONTRÔLE DE TEMPS, À MOUVEMENT D'HORLOGERIE OU À MOTEUR SYNCHRONE (AUTRES QU'APPAREILS D'HORLOGERIE DU N° 9101 À 9105, HORLOGES DE POINTAGE, HORODATEURS ET HOROCOMPTEURS)</v>
      </c>
      <c r="C5734">
        <v>312623</v>
      </c>
      <c r="D5734">
        <v>1101</v>
      </c>
    </row>
    <row r="5735" spans="1:4" x14ac:dyDescent="0.25">
      <c r="A5735" t="str">
        <f>T("   920190")</f>
        <v xml:space="preserve">   920190</v>
      </c>
      <c r="B5735" t="str">
        <f>T("   Clavecins et autres instruments à cordes à clavier (autres que pianos)")</f>
        <v xml:space="preserve">   Clavecins et autres instruments à cordes à clavier (autres que pianos)</v>
      </c>
      <c r="C5735">
        <v>124632</v>
      </c>
      <c r="D5735">
        <v>47</v>
      </c>
    </row>
    <row r="5736" spans="1:4" x14ac:dyDescent="0.25">
      <c r="A5736" t="str">
        <f>T("   920790")</f>
        <v xml:space="preserve">   920790</v>
      </c>
      <c r="B5736" t="str">
        <f>T("   Accordéons électriques et autres instruments de musique électriques")</f>
        <v xml:space="preserve">   Accordéons électriques et autres instruments de musique électriques</v>
      </c>
      <c r="C5736">
        <v>100362</v>
      </c>
      <c r="D5736">
        <v>100</v>
      </c>
    </row>
    <row r="5737" spans="1:4" x14ac:dyDescent="0.25">
      <c r="A5737" t="str">
        <f>T("   940180")</f>
        <v xml:space="preserve">   940180</v>
      </c>
      <c r="B5737" t="str">
        <f>T("   Sièges, n.d.a.")</f>
        <v xml:space="preserve">   Sièges, n.d.a.</v>
      </c>
      <c r="C5737">
        <v>515223</v>
      </c>
      <c r="D5737">
        <v>226</v>
      </c>
    </row>
    <row r="5738" spans="1:4" x14ac:dyDescent="0.25">
      <c r="A5738" t="str">
        <f>T("   940290")</f>
        <v xml:space="preserve">   940290</v>
      </c>
      <c r="B5738"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5738">
        <v>26516692</v>
      </c>
      <c r="D5738">
        <v>2440</v>
      </c>
    </row>
    <row r="5739" spans="1:4" x14ac:dyDescent="0.25">
      <c r="A5739" t="str">
        <f>T("   940320")</f>
        <v xml:space="preserve">   940320</v>
      </c>
      <c r="B5739"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5739">
        <v>287095</v>
      </c>
      <c r="D5739">
        <v>2604</v>
      </c>
    </row>
    <row r="5740" spans="1:4" x14ac:dyDescent="0.25">
      <c r="A5740" t="str">
        <f>T("   940330")</f>
        <v xml:space="preserve">   940330</v>
      </c>
      <c r="B5740" t="str">
        <f>T("   Meubles de bureau en bois (sauf sièges)")</f>
        <v xml:space="preserve">   Meubles de bureau en bois (sauf sièges)</v>
      </c>
      <c r="C5740">
        <v>38046</v>
      </c>
      <c r="D5740">
        <v>5</v>
      </c>
    </row>
    <row r="5741" spans="1:4" x14ac:dyDescent="0.25">
      <c r="A5741" t="str">
        <f>T("   940350")</f>
        <v xml:space="preserve">   940350</v>
      </c>
      <c r="B5741" t="str">
        <f>T("   Meubles pour chambres à coucher, en bois (sauf sièges)")</f>
        <v xml:space="preserve">   Meubles pour chambres à coucher, en bois (sauf sièges)</v>
      </c>
      <c r="C5741">
        <v>5532</v>
      </c>
      <c r="D5741">
        <v>20</v>
      </c>
    </row>
    <row r="5742" spans="1:4" x14ac:dyDescent="0.25">
      <c r="A5742" t="str">
        <f>T("   940360")</f>
        <v xml:space="preserve">   940360</v>
      </c>
      <c r="B5742" t="str">
        <f>T("   Meubles en bois (autres que pour bureaux, cuisines ou chambres à coucher et autres que sièges)")</f>
        <v xml:space="preserve">   Meubles en bois (autres que pour bureaux, cuisines ou chambres à coucher et autres que sièges)</v>
      </c>
      <c r="C5742">
        <v>845601</v>
      </c>
      <c r="D5742">
        <v>3056</v>
      </c>
    </row>
    <row r="5743" spans="1:4" x14ac:dyDescent="0.25">
      <c r="A5743" t="str">
        <f>T("   940380")</f>
        <v xml:space="preserve">   940380</v>
      </c>
      <c r="B5743" t="str">
        <f>T("   Meubles en rotin, osier, bambou ou autres matières (sauf métal, bois et matières plastiques)")</f>
        <v xml:space="preserve">   Meubles en rotin, osier, bambou ou autres matières (sauf métal, bois et matières plastiques)</v>
      </c>
      <c r="C5743">
        <v>2642579</v>
      </c>
      <c r="D5743">
        <v>6155</v>
      </c>
    </row>
    <row r="5744" spans="1:4" x14ac:dyDescent="0.25">
      <c r="A5744" t="str">
        <f>T("   940429")</f>
        <v xml:space="preserve">   940429</v>
      </c>
      <c r="B5744"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5744">
        <v>637457</v>
      </c>
      <c r="D5744">
        <v>3691</v>
      </c>
    </row>
    <row r="5745" spans="1:4" x14ac:dyDescent="0.25">
      <c r="A5745" t="str">
        <f>T("   940490")</f>
        <v xml:space="preserve">   940490</v>
      </c>
      <c r="B5745" t="s">
        <v>505</v>
      </c>
      <c r="C5745">
        <v>330388</v>
      </c>
      <c r="D5745">
        <v>1475</v>
      </c>
    </row>
    <row r="5746" spans="1:4" x14ac:dyDescent="0.25">
      <c r="A5746" t="str">
        <f>T("   940540")</f>
        <v xml:space="preserve">   940540</v>
      </c>
      <c r="B5746" t="str">
        <f>T("   Appareils d'éclairage électrique, n.d.a.")</f>
        <v xml:space="preserve">   Appareils d'éclairage électrique, n.d.a.</v>
      </c>
      <c r="C5746">
        <v>324044</v>
      </c>
      <c r="D5746">
        <v>3058</v>
      </c>
    </row>
    <row r="5747" spans="1:4" x14ac:dyDescent="0.25">
      <c r="A5747" t="str">
        <f>T("   940560")</f>
        <v xml:space="preserve">   940560</v>
      </c>
      <c r="B5747"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5747">
        <v>2312864</v>
      </c>
      <c r="D5747">
        <v>251</v>
      </c>
    </row>
    <row r="5748" spans="1:4" x14ac:dyDescent="0.25">
      <c r="A5748" t="str">
        <f>T("   950310")</f>
        <v xml:space="preserve">   950310</v>
      </c>
      <c r="B5748" t="str">
        <f>T("   Modèles réduits de trains électriques, y.c. les rails, les signaux et autres accessoires")</f>
        <v xml:space="preserve">   Modèles réduits de trains électriques, y.c. les rails, les signaux et autres accessoires</v>
      </c>
      <c r="C5748">
        <v>576658</v>
      </c>
      <c r="D5748">
        <v>1035</v>
      </c>
    </row>
    <row r="5749" spans="1:4" x14ac:dyDescent="0.25">
      <c r="A5749" t="str">
        <f>T("   950330")</f>
        <v xml:space="preserve">   950330</v>
      </c>
      <c r="B5749" t="str">
        <f>T("   Assortiments et jouets de construction (sauf modèles réduits à assembler)")</f>
        <v xml:space="preserve">   Assortiments et jouets de construction (sauf modèles réduits à assembler)</v>
      </c>
      <c r="C5749">
        <v>245640</v>
      </c>
      <c r="D5749">
        <v>680</v>
      </c>
    </row>
    <row r="5750" spans="1:4" x14ac:dyDescent="0.25">
      <c r="A5750" t="str">
        <f>T("   950390")</f>
        <v xml:space="preserve">   950390</v>
      </c>
      <c r="B5750" t="str">
        <f>T("   Jouets, n.d.a.")</f>
        <v xml:space="preserve">   Jouets, n.d.a.</v>
      </c>
      <c r="C5750">
        <v>11678218</v>
      </c>
      <c r="D5750">
        <v>21285.47</v>
      </c>
    </row>
    <row r="5751" spans="1:4" x14ac:dyDescent="0.25">
      <c r="A5751" t="str">
        <f>T("   950410")</f>
        <v xml:space="preserve">   950410</v>
      </c>
      <c r="B5751" t="str">
        <f>T("   Jeux vidéo des types utilisables avec un récepteur de télévision")</f>
        <v xml:space="preserve">   Jeux vidéo des types utilisables avec un récepteur de télévision</v>
      </c>
      <c r="C5751">
        <v>45917</v>
      </c>
      <c r="D5751">
        <v>71</v>
      </c>
    </row>
    <row r="5752" spans="1:4" x14ac:dyDescent="0.25">
      <c r="A5752" t="str">
        <f>T("   960899")</f>
        <v xml:space="preserve">   960899</v>
      </c>
      <c r="B5752"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5752">
        <v>279205</v>
      </c>
      <c r="D5752">
        <v>30</v>
      </c>
    </row>
    <row r="5753" spans="1:4" x14ac:dyDescent="0.25">
      <c r="A5753" t="str">
        <f>T("GD")</f>
        <v>GD</v>
      </c>
      <c r="B5753" t="str">
        <f>T("Grenade")</f>
        <v>Grenade</v>
      </c>
    </row>
    <row r="5754" spans="1:4" x14ac:dyDescent="0.25">
      <c r="A5754" t="str">
        <f>T("   ZZ_Total_Produit_SH6")</f>
        <v xml:space="preserve">   ZZ_Total_Produit_SH6</v>
      </c>
      <c r="B5754" t="str">
        <f>T("   ZZ_Total_Produit_SH6")</f>
        <v xml:space="preserve">   ZZ_Total_Produit_SH6</v>
      </c>
      <c r="C5754">
        <v>11250000</v>
      </c>
      <c r="D5754">
        <v>15000</v>
      </c>
    </row>
    <row r="5755" spans="1:4" x14ac:dyDescent="0.25">
      <c r="A5755" t="str">
        <f>T("   630900")</f>
        <v xml:space="preserve">   630900</v>
      </c>
      <c r="B5755" t="s">
        <v>273</v>
      </c>
      <c r="C5755">
        <v>11250000</v>
      </c>
      <c r="D5755">
        <v>15000</v>
      </c>
    </row>
    <row r="5756" spans="1:4" x14ac:dyDescent="0.25">
      <c r="A5756" t="str">
        <f>T("GE")</f>
        <v>GE</v>
      </c>
      <c r="B5756" t="str">
        <f>T("Géorgie")</f>
        <v>Géorgie</v>
      </c>
    </row>
    <row r="5757" spans="1:4" x14ac:dyDescent="0.25">
      <c r="A5757" t="str">
        <f>T("   ZZ_Total_Produit_SH6")</f>
        <v xml:space="preserve">   ZZ_Total_Produit_SH6</v>
      </c>
      <c r="B5757" t="str">
        <f>T("   ZZ_Total_Produit_SH6")</f>
        <v xml:space="preserve">   ZZ_Total_Produit_SH6</v>
      </c>
      <c r="C5757">
        <v>48308273</v>
      </c>
      <c r="D5757">
        <v>50294</v>
      </c>
    </row>
    <row r="5758" spans="1:4" x14ac:dyDescent="0.25">
      <c r="A5758" t="str">
        <f>T("   020714")</f>
        <v xml:space="preserve">   020714</v>
      </c>
      <c r="B5758" t="str">
        <f>T("   Morceaux et abats comestibles de coqs et de poules [des espèces domestiques], congelés")</f>
        <v xml:space="preserve">   Morceaux et abats comestibles de coqs et de poules [des espèces domestiques], congelés</v>
      </c>
      <c r="C5758">
        <v>31100376</v>
      </c>
      <c r="D5758">
        <v>50000</v>
      </c>
    </row>
    <row r="5759" spans="1:4" x14ac:dyDescent="0.25">
      <c r="A5759" t="str">
        <f>T("   490199")</f>
        <v xml:space="preserve">   490199</v>
      </c>
      <c r="B575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759">
        <v>710503</v>
      </c>
      <c r="D5759">
        <v>188</v>
      </c>
    </row>
    <row r="5760" spans="1:4" x14ac:dyDescent="0.25">
      <c r="A5760" t="str">
        <f>T("   851780")</f>
        <v xml:space="preserve">   851780</v>
      </c>
      <c r="B5760" t="s">
        <v>453</v>
      </c>
      <c r="C5760">
        <v>16497394</v>
      </c>
      <c r="D5760">
        <v>106</v>
      </c>
    </row>
    <row r="5761" spans="1:4" x14ac:dyDescent="0.25">
      <c r="A5761" t="str">
        <f>T("GH")</f>
        <v>GH</v>
      </c>
      <c r="B5761" t="str">
        <f>T("Ghana")</f>
        <v>Ghana</v>
      </c>
    </row>
    <row r="5762" spans="1:4" x14ac:dyDescent="0.25">
      <c r="A5762" t="str">
        <f>T("   ZZ_Total_Produit_SH6")</f>
        <v xml:space="preserve">   ZZ_Total_Produit_SH6</v>
      </c>
      <c r="B5762" t="str">
        <f>T("   ZZ_Total_Produit_SH6")</f>
        <v xml:space="preserve">   ZZ_Total_Produit_SH6</v>
      </c>
      <c r="C5762">
        <v>5829817647.9569998</v>
      </c>
      <c r="D5762">
        <v>18153971</v>
      </c>
    </row>
    <row r="5763" spans="1:4" x14ac:dyDescent="0.25">
      <c r="A5763" t="str">
        <f>T("   020727")</f>
        <v xml:space="preserve">   020727</v>
      </c>
      <c r="B5763" t="str">
        <f>T("   Morceaux et abats comestibles de dindes et dindons [des espèces domestiques], congelés")</f>
        <v xml:space="preserve">   Morceaux et abats comestibles de dindes et dindons [des espèces domestiques], congelés</v>
      </c>
      <c r="C5763">
        <v>15000000</v>
      </c>
      <c r="D5763">
        <v>25000</v>
      </c>
    </row>
    <row r="5764" spans="1:4" x14ac:dyDescent="0.25">
      <c r="A5764" t="str">
        <f>T("   030261")</f>
        <v xml:space="preserve">   030261</v>
      </c>
      <c r="B5764" t="str">
        <f>T("   Sardines [Sardina pilchardus, Sardinops spp.], sardinelles 'Sardinella spp.', sprats ou esprots 'Sprattus sprattus', frais ou réfrigérés")</f>
        <v xml:space="preserve">   Sardines [Sardina pilchardus, Sardinops spp.], sardinelles 'Sardinella spp.', sprats ou esprots 'Sprattus sprattus', frais ou réfrigérés</v>
      </c>
      <c r="C5764">
        <v>2000000</v>
      </c>
      <c r="D5764">
        <v>10755</v>
      </c>
    </row>
    <row r="5765" spans="1:4" x14ac:dyDescent="0.25">
      <c r="A5765" t="str">
        <f>T("   040210")</f>
        <v xml:space="preserve">   040210</v>
      </c>
      <c r="B5765"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5765">
        <v>112092140</v>
      </c>
      <c r="D5765">
        <v>37440</v>
      </c>
    </row>
    <row r="5766" spans="1:4" x14ac:dyDescent="0.25">
      <c r="A5766" t="str">
        <f>T("   040700")</f>
        <v xml:space="preserve">   040700</v>
      </c>
      <c r="B5766" t="str">
        <f>T("   Oeufs d'oiseaux, en coquilles, frais, conservés ou cuits")</f>
        <v xml:space="preserve">   Oeufs d'oiseaux, en coquilles, frais, conservés ou cuits</v>
      </c>
      <c r="C5766">
        <v>7378891</v>
      </c>
      <c r="D5766">
        <v>25250</v>
      </c>
    </row>
    <row r="5767" spans="1:4" x14ac:dyDescent="0.25">
      <c r="A5767" t="str">
        <f>T("   070890")</f>
        <v xml:space="preserve">   070890</v>
      </c>
      <c r="B5767" t="str">
        <f>T("   Légumes à cosse, écossés ou non, à l'état frais ou réfrigéré (à l'excl. des pois 'Pisum sativum' et des haricots 'Vigna spp., Phaseolus spp.')")</f>
        <v xml:space="preserve">   Légumes à cosse, écossés ou non, à l'état frais ou réfrigéré (à l'excl. des pois 'Pisum sativum' et des haricots 'Vigna spp., Phaseolus spp.')</v>
      </c>
      <c r="C5767">
        <v>2000000</v>
      </c>
      <c r="D5767">
        <v>6120</v>
      </c>
    </row>
    <row r="5768" spans="1:4" x14ac:dyDescent="0.25">
      <c r="A5768" t="str">
        <f>T("   100510")</f>
        <v xml:space="preserve">   100510</v>
      </c>
      <c r="B5768" t="str">
        <f>T("   Maïs de semence")</f>
        <v xml:space="preserve">   Maïs de semence</v>
      </c>
      <c r="C5768">
        <v>3436500</v>
      </c>
      <c r="D5768">
        <v>45820</v>
      </c>
    </row>
    <row r="5769" spans="1:4" x14ac:dyDescent="0.25">
      <c r="A5769" t="str">
        <f>T("   151110")</f>
        <v xml:space="preserve">   151110</v>
      </c>
      <c r="B5769" t="str">
        <f>T("   Huile de palme, brute")</f>
        <v xml:space="preserve">   Huile de palme, brute</v>
      </c>
      <c r="C5769">
        <v>1500000</v>
      </c>
      <c r="D5769">
        <v>15000</v>
      </c>
    </row>
    <row r="5770" spans="1:4" x14ac:dyDescent="0.25">
      <c r="A5770" t="str">
        <f>T("   151190")</f>
        <v xml:space="preserve">   151190</v>
      </c>
      <c r="B5770" t="str">
        <f>T("   Huile de palme et ses fractions, même raffinées, mais non chimiquement modifiées (à l'excl. de l'huile de palme brute)")</f>
        <v xml:space="preserve">   Huile de palme et ses fractions, même raffinées, mais non chimiquement modifiées (à l'excl. de l'huile de palme brute)</v>
      </c>
      <c r="C5770">
        <v>40289403.957000002</v>
      </c>
      <c r="D5770">
        <v>110000</v>
      </c>
    </row>
    <row r="5771" spans="1:4" x14ac:dyDescent="0.25">
      <c r="A5771" t="str">
        <f>T("   160239")</f>
        <v xml:space="preserve">   160239</v>
      </c>
      <c r="B5771" t="s">
        <v>41</v>
      </c>
      <c r="C5771">
        <v>5000000</v>
      </c>
      <c r="D5771">
        <v>21948</v>
      </c>
    </row>
    <row r="5772" spans="1:4" x14ac:dyDescent="0.25">
      <c r="A5772" t="str">
        <f>T("   170191")</f>
        <v xml:space="preserve">   170191</v>
      </c>
      <c r="B5772" t="str">
        <f>T("   Sucres de canne ou de betterave, à l'état solide, additionnés d'aromatisants ou de colorants")</f>
        <v xml:space="preserve">   Sucres de canne ou de betterave, à l'état solide, additionnés d'aromatisants ou de colorants</v>
      </c>
      <c r="C5772">
        <v>4000000</v>
      </c>
      <c r="D5772">
        <v>14180</v>
      </c>
    </row>
    <row r="5773" spans="1:4" x14ac:dyDescent="0.25">
      <c r="A5773" t="str">
        <f>T("   170410")</f>
        <v xml:space="preserve">   170410</v>
      </c>
      <c r="B5773" t="str">
        <f>T("   Gommes à mâcher [chewing-gum], même enrobées de sucre")</f>
        <v xml:space="preserve">   Gommes à mâcher [chewing-gum], même enrobées de sucre</v>
      </c>
      <c r="C5773">
        <v>1784604</v>
      </c>
      <c r="D5773">
        <v>12350</v>
      </c>
    </row>
    <row r="5774" spans="1:4" x14ac:dyDescent="0.25">
      <c r="A5774" t="str">
        <f>T("   170490")</f>
        <v xml:space="preserve">   170490</v>
      </c>
      <c r="B5774" t="str">
        <f>T("   Sucreries sans cacao, y.c. le chocolat blanc (à l'excl. des gommes à mâcher)")</f>
        <v xml:space="preserve">   Sucreries sans cacao, y.c. le chocolat blanc (à l'excl. des gommes à mâcher)</v>
      </c>
      <c r="C5774">
        <v>133490215</v>
      </c>
      <c r="D5774">
        <v>783822</v>
      </c>
    </row>
    <row r="5775" spans="1:4" x14ac:dyDescent="0.25">
      <c r="A5775" t="str">
        <f>T("   190110")</f>
        <v xml:space="preserve">   190110</v>
      </c>
      <c r="B5775" t="s">
        <v>48</v>
      </c>
      <c r="C5775">
        <v>39073837</v>
      </c>
      <c r="D5775">
        <v>20134</v>
      </c>
    </row>
    <row r="5776" spans="1:4" x14ac:dyDescent="0.25">
      <c r="A5776" t="str">
        <f>T("   190219")</f>
        <v xml:space="preserve">   190219</v>
      </c>
      <c r="B5776" t="str">
        <f>T("   PÂTES ALIMENTAIRES NON-CUITES NI FARCIES NI AUTREMENT PRÉPARÉES, NE CONTENANT PAS D'OEUFS")</f>
        <v xml:space="preserve">   PÂTES ALIMENTAIRES NON-CUITES NI FARCIES NI AUTREMENT PRÉPARÉES, NE CONTENANT PAS D'OEUFS</v>
      </c>
      <c r="C5776">
        <v>570468370</v>
      </c>
      <c r="D5776">
        <v>2975357</v>
      </c>
    </row>
    <row r="5777" spans="1:4" x14ac:dyDescent="0.25">
      <c r="A5777" t="str">
        <f>T("   190531")</f>
        <v xml:space="preserve">   190531</v>
      </c>
      <c r="B5777" t="str">
        <f>T("   Biscuits additionnés d'édulcorants")</f>
        <v xml:space="preserve">   Biscuits additionnés d'édulcorants</v>
      </c>
      <c r="C5777">
        <v>15435367</v>
      </c>
      <c r="D5777">
        <v>57648</v>
      </c>
    </row>
    <row r="5778" spans="1:4" x14ac:dyDescent="0.25">
      <c r="A5778" t="str">
        <f>T("   190532")</f>
        <v xml:space="preserve">   190532</v>
      </c>
      <c r="B5778" t="str">
        <f>T("   GAUFRES ET GAUFRETTES")</f>
        <v xml:space="preserve">   GAUFRES ET GAUFRETTES</v>
      </c>
      <c r="C5778">
        <v>5365202</v>
      </c>
      <c r="D5778">
        <v>13041</v>
      </c>
    </row>
    <row r="5779" spans="1:4" x14ac:dyDescent="0.25">
      <c r="A5779" t="str">
        <f>T("   190590")</f>
        <v xml:space="preserve">   190590</v>
      </c>
      <c r="B5779" t="s">
        <v>52</v>
      </c>
      <c r="C5779">
        <v>13100000</v>
      </c>
      <c r="D5779">
        <v>85120</v>
      </c>
    </row>
    <row r="5780" spans="1:4" x14ac:dyDescent="0.25">
      <c r="A5780" t="str">
        <f>T("   200290")</f>
        <v xml:space="preserve">   200290</v>
      </c>
      <c r="B5780"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5780">
        <v>2750000</v>
      </c>
      <c r="D5780">
        <v>16830</v>
      </c>
    </row>
    <row r="5781" spans="1:4" x14ac:dyDescent="0.25">
      <c r="A5781" t="str">
        <f>T("   200980")</f>
        <v xml:space="preserve">   200980</v>
      </c>
      <c r="B5781"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5781">
        <v>11796053</v>
      </c>
      <c r="D5781">
        <v>57070</v>
      </c>
    </row>
    <row r="5782" spans="1:4" x14ac:dyDescent="0.25">
      <c r="A5782" t="str">
        <f>T("   200990")</f>
        <v xml:space="preserve">   200990</v>
      </c>
      <c r="B5782"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5782">
        <v>22909935</v>
      </c>
      <c r="D5782">
        <v>185605</v>
      </c>
    </row>
    <row r="5783" spans="1:4" x14ac:dyDescent="0.25">
      <c r="A5783" t="str">
        <f>T("   210112")</f>
        <v xml:space="preserve">   210112</v>
      </c>
      <c r="B5783" t="str">
        <f>T("   Préparations à base d'extraits, essences ou concentrés de café ou à base de café")</f>
        <v xml:space="preserve">   Préparations à base d'extraits, essences ou concentrés de café ou à base de café</v>
      </c>
      <c r="C5783">
        <v>1500000</v>
      </c>
      <c r="D5783">
        <v>4000</v>
      </c>
    </row>
    <row r="5784" spans="1:4" x14ac:dyDescent="0.25">
      <c r="A5784" t="str">
        <f>T("   220210")</f>
        <v xml:space="preserve">   220210</v>
      </c>
      <c r="B5784"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5784">
        <v>43495721</v>
      </c>
      <c r="D5784">
        <v>60232</v>
      </c>
    </row>
    <row r="5785" spans="1:4" x14ac:dyDescent="0.25">
      <c r="A5785" t="str">
        <f>T("   220290")</f>
        <v xml:space="preserve">   220290</v>
      </c>
      <c r="B5785" t="str">
        <f>T("   BOISSONS NON-ALCOOLIQUES (À L'EXCL. DES EAUX, DES JUS DE FRUITS OU DE LÉGUMES AINSI QUE DU LAIT)")</f>
        <v xml:space="preserve">   BOISSONS NON-ALCOOLIQUES (À L'EXCL. DES EAUX, DES JUS DE FRUITS OU DE LÉGUMES AINSI QUE DU LAIT)</v>
      </c>
      <c r="C5785">
        <v>4017440</v>
      </c>
      <c r="D5785">
        <v>46766</v>
      </c>
    </row>
    <row r="5786" spans="1:4" x14ac:dyDescent="0.25">
      <c r="A5786" t="str">
        <f>T("   220300")</f>
        <v xml:space="preserve">   220300</v>
      </c>
      <c r="B5786" t="str">
        <f>T("   Bières de malt")</f>
        <v xml:space="preserve">   Bières de malt</v>
      </c>
      <c r="C5786">
        <v>46469389</v>
      </c>
      <c r="D5786">
        <v>155578</v>
      </c>
    </row>
    <row r="5787" spans="1:4" x14ac:dyDescent="0.25">
      <c r="A5787" t="str">
        <f>T("   220410")</f>
        <v xml:space="preserve">   220410</v>
      </c>
      <c r="B5787" t="str">
        <f>T("   Vins mousseux produits à partir de raisins frais")</f>
        <v xml:space="preserve">   Vins mousseux produits à partir de raisins frais</v>
      </c>
      <c r="C5787">
        <v>18000000</v>
      </c>
      <c r="D5787">
        <v>248000</v>
      </c>
    </row>
    <row r="5788" spans="1:4" x14ac:dyDescent="0.25">
      <c r="A5788" t="str">
        <f>T("   230400")</f>
        <v xml:space="preserve">   230400</v>
      </c>
      <c r="B5788"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5788">
        <v>8800000</v>
      </c>
      <c r="D5788">
        <v>60000</v>
      </c>
    </row>
    <row r="5789" spans="1:4" x14ac:dyDescent="0.25">
      <c r="A5789" t="str">
        <f>T("   250100")</f>
        <v xml:space="preserve">   250100</v>
      </c>
      <c r="B5789" t="s">
        <v>65</v>
      </c>
      <c r="C5789">
        <v>45310140</v>
      </c>
      <c r="D5789">
        <v>1039280</v>
      </c>
    </row>
    <row r="5790" spans="1:4" x14ac:dyDescent="0.25">
      <c r="A5790" t="str">
        <f>T("   250810")</f>
        <v xml:space="preserve">   250810</v>
      </c>
      <c r="B5790" t="str">
        <f>T("   Bentonite")</f>
        <v xml:space="preserve">   Bentonite</v>
      </c>
      <c r="C5790">
        <v>9340870</v>
      </c>
      <c r="D5790">
        <v>40000</v>
      </c>
    </row>
    <row r="5791" spans="1:4" x14ac:dyDescent="0.25">
      <c r="A5791" t="str">
        <f>T("   252329")</f>
        <v xml:space="preserve">   252329</v>
      </c>
      <c r="B5791" t="str">
        <f>T("   Ciment Portland normal ou modéré (à l'excl. des ciments Portland blancs, même colorés artificiellement)")</f>
        <v xml:space="preserve">   Ciment Portland normal ou modéré (à l'excl. des ciments Portland blancs, même colorés artificiellement)</v>
      </c>
      <c r="C5791">
        <v>158368060</v>
      </c>
      <c r="D5791">
        <v>2620000</v>
      </c>
    </row>
    <row r="5792" spans="1:4" x14ac:dyDescent="0.25">
      <c r="A5792" t="str">
        <f>T("   271019")</f>
        <v xml:space="preserve">   271019</v>
      </c>
      <c r="B5792" t="str">
        <f>T("   Huiles moyennes et préparations, de pétrole ou de minéraux bitumineux, n.d.a.")</f>
        <v xml:space="preserve">   Huiles moyennes et préparations, de pétrole ou de minéraux bitumineux, n.d.a.</v>
      </c>
      <c r="C5792">
        <v>13176721</v>
      </c>
      <c r="D5792">
        <v>46080</v>
      </c>
    </row>
    <row r="5793" spans="1:4" x14ac:dyDescent="0.25">
      <c r="A5793" t="str">
        <f>T("   271113")</f>
        <v xml:space="preserve">   271113</v>
      </c>
      <c r="B5793" t="str">
        <f>T("   Butanes, liquéfiés (à l'excl. des butanes d'une pureté &gt;= 95% en n-butane ou en isobutane)")</f>
        <v xml:space="preserve">   Butanes, liquéfiés (à l'excl. des butanes d'une pureté &gt;= 95% en n-butane ou en isobutane)</v>
      </c>
      <c r="C5793">
        <v>195331113</v>
      </c>
      <c r="D5793">
        <v>397049</v>
      </c>
    </row>
    <row r="5794" spans="1:4" x14ac:dyDescent="0.25">
      <c r="A5794" t="str">
        <f>T("   282890")</f>
        <v xml:space="preserve">   282890</v>
      </c>
      <c r="B5794" t="str">
        <f>T("   Hypochlorites, chlorites et hypobromites (à l'excl. des hypochlorites de calcium)")</f>
        <v xml:space="preserve">   Hypochlorites, chlorites et hypobromites (à l'excl. des hypochlorites de calcium)</v>
      </c>
      <c r="C5794">
        <v>5500000</v>
      </c>
      <c r="D5794">
        <v>24040</v>
      </c>
    </row>
    <row r="5795" spans="1:4" x14ac:dyDescent="0.25">
      <c r="A5795" t="str">
        <f>T("   283650")</f>
        <v xml:space="preserve">   283650</v>
      </c>
      <c r="B5795" t="str">
        <f>T("   Carbonate de calcium")</f>
        <v xml:space="preserve">   Carbonate de calcium</v>
      </c>
      <c r="C5795">
        <v>1854459</v>
      </c>
      <c r="D5795">
        <v>15000</v>
      </c>
    </row>
    <row r="5796" spans="1:4" x14ac:dyDescent="0.25">
      <c r="A5796" t="str">
        <f>T("   290312")</f>
        <v xml:space="preserve">   290312</v>
      </c>
      <c r="B5796" t="str">
        <f>T("   Dichlorométhane [chlorure de méthylène]")</f>
        <v xml:space="preserve">   Dichlorométhane [chlorure de méthylène]</v>
      </c>
      <c r="C5796">
        <v>26595542</v>
      </c>
      <c r="D5796">
        <v>25347</v>
      </c>
    </row>
    <row r="5797" spans="1:4" x14ac:dyDescent="0.25">
      <c r="A5797" t="str">
        <f>T("   292910")</f>
        <v xml:space="preserve">   292910</v>
      </c>
      <c r="B5797" t="str">
        <f>T("   Isocyanates")</f>
        <v xml:space="preserve">   Isocyanates</v>
      </c>
      <c r="C5797">
        <v>3661309</v>
      </c>
      <c r="D5797">
        <v>1360</v>
      </c>
    </row>
    <row r="5798" spans="1:4" x14ac:dyDescent="0.25">
      <c r="A5798" t="str">
        <f>T("   300439")</f>
        <v xml:space="preserve">   300439</v>
      </c>
      <c r="B5798" t="s">
        <v>77</v>
      </c>
      <c r="C5798">
        <v>56978223</v>
      </c>
      <c r="D5798">
        <v>10275</v>
      </c>
    </row>
    <row r="5799" spans="1:4" x14ac:dyDescent="0.25">
      <c r="A5799" t="str">
        <f>T("   300490")</f>
        <v xml:space="preserve">   300490</v>
      </c>
      <c r="B5799" t="s">
        <v>79</v>
      </c>
      <c r="C5799">
        <v>19185709</v>
      </c>
      <c r="D5799">
        <v>42280</v>
      </c>
    </row>
    <row r="5800" spans="1:4" x14ac:dyDescent="0.25">
      <c r="A5800" t="str">
        <f>T("   320419")</f>
        <v xml:space="preserve">   320419</v>
      </c>
      <c r="B5800" t="s">
        <v>88</v>
      </c>
      <c r="C5800">
        <v>559274</v>
      </c>
      <c r="D5800">
        <v>100</v>
      </c>
    </row>
    <row r="5801" spans="1:4" x14ac:dyDescent="0.25">
      <c r="A5801" t="str">
        <f>T("   320820")</f>
        <v xml:space="preserve">   320820</v>
      </c>
      <c r="B5801" t="s">
        <v>92</v>
      </c>
      <c r="C5801">
        <v>215536414</v>
      </c>
      <c r="D5801">
        <v>524595</v>
      </c>
    </row>
    <row r="5802" spans="1:4" x14ac:dyDescent="0.25">
      <c r="A5802" t="str">
        <f>T("   320890")</f>
        <v xml:space="preserve">   320890</v>
      </c>
      <c r="B5802" t="s">
        <v>93</v>
      </c>
      <c r="C5802">
        <v>325973</v>
      </c>
      <c r="D5802">
        <v>10500</v>
      </c>
    </row>
    <row r="5803" spans="1:4" x14ac:dyDescent="0.25">
      <c r="A5803" t="str">
        <f>T("   320910")</f>
        <v xml:space="preserve">   320910</v>
      </c>
      <c r="B5803" t="str">
        <f>T("   Peintures et vernis à base de polymères acryliques ou vinyliques, dispersés ou dissous dans un milieu aqueux")</f>
        <v xml:space="preserve">   Peintures et vernis à base de polymères acryliques ou vinyliques, dispersés ou dissous dans un milieu aqueux</v>
      </c>
      <c r="C5803">
        <v>13134</v>
      </c>
      <c r="D5803">
        <v>1000</v>
      </c>
    </row>
    <row r="5804" spans="1:4" x14ac:dyDescent="0.25">
      <c r="A5804" t="str">
        <f>T("   321410")</f>
        <v xml:space="preserve">   321410</v>
      </c>
      <c r="B5804" t="str">
        <f>T("   Mastic de vitrier, ciments de résine et autres mastics; enduits utilisés en peinture")</f>
        <v xml:space="preserve">   Mastic de vitrier, ciments de résine et autres mastics; enduits utilisés en peinture</v>
      </c>
      <c r="C5804">
        <v>17889699</v>
      </c>
      <c r="D5804">
        <v>110050</v>
      </c>
    </row>
    <row r="5805" spans="1:4" x14ac:dyDescent="0.25">
      <c r="A5805" t="str">
        <f>T("   330300")</f>
        <v xml:space="preserve">   330300</v>
      </c>
      <c r="B5805"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5805">
        <v>1558134</v>
      </c>
      <c r="D5805">
        <v>10080</v>
      </c>
    </row>
    <row r="5806" spans="1:4" x14ac:dyDescent="0.25">
      <c r="A5806" t="str">
        <f>T("   330491")</f>
        <v xml:space="preserve">   330491</v>
      </c>
      <c r="B5806"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5806">
        <v>788327</v>
      </c>
      <c r="D5806">
        <v>2335</v>
      </c>
    </row>
    <row r="5807" spans="1:4" x14ac:dyDescent="0.25">
      <c r="A5807" t="str">
        <f>T("   330499")</f>
        <v xml:space="preserve">   330499</v>
      </c>
      <c r="B5807" t="s">
        <v>97</v>
      </c>
      <c r="C5807">
        <v>124829211</v>
      </c>
      <c r="D5807">
        <v>347495</v>
      </c>
    </row>
    <row r="5808" spans="1:4" x14ac:dyDescent="0.25">
      <c r="A5808" t="str">
        <f>T("   330510")</f>
        <v xml:space="preserve">   330510</v>
      </c>
      <c r="B5808" t="str">
        <f>T("   Shampooings")</f>
        <v xml:space="preserve">   Shampooings</v>
      </c>
      <c r="C5808">
        <v>231250</v>
      </c>
      <c r="D5808">
        <v>420</v>
      </c>
    </row>
    <row r="5809" spans="1:4" x14ac:dyDescent="0.25">
      <c r="A5809" t="str">
        <f>T("   330610")</f>
        <v xml:space="preserve">   330610</v>
      </c>
      <c r="B5809" t="str">
        <f>T("   Dentifrices, préparés, même des types utilisés par les dentistes")</f>
        <v xml:space="preserve">   Dentifrices, préparés, même des types utilisés par les dentistes</v>
      </c>
      <c r="C5809">
        <v>22605071</v>
      </c>
      <c r="D5809">
        <v>130438</v>
      </c>
    </row>
    <row r="5810" spans="1:4" x14ac:dyDescent="0.25">
      <c r="A5810" t="str">
        <f>T("   330720")</f>
        <v xml:space="preserve">   330720</v>
      </c>
      <c r="B5810" t="str">
        <f>T("   Désodorisants corporels et antisudoraux, préparés")</f>
        <v xml:space="preserve">   Désodorisants corporels et antisudoraux, préparés</v>
      </c>
      <c r="C5810">
        <v>257151</v>
      </c>
      <c r="D5810">
        <v>7360</v>
      </c>
    </row>
    <row r="5811" spans="1:4" x14ac:dyDescent="0.25">
      <c r="A5811" t="str">
        <f>T("   340111")</f>
        <v xml:space="preserve">   340111</v>
      </c>
      <c r="B5811" t="s">
        <v>98</v>
      </c>
      <c r="C5811">
        <v>43011146</v>
      </c>
      <c r="D5811">
        <v>107278</v>
      </c>
    </row>
    <row r="5812" spans="1:4" x14ac:dyDescent="0.25">
      <c r="A5812" t="str">
        <f>T("   340119")</f>
        <v xml:space="preserve">   340119</v>
      </c>
      <c r="B5812" t="s">
        <v>99</v>
      </c>
      <c r="C5812">
        <v>30190640</v>
      </c>
      <c r="D5812">
        <v>208090</v>
      </c>
    </row>
    <row r="5813" spans="1:4" x14ac:dyDescent="0.25">
      <c r="A5813" t="str">
        <f>T("   340120")</f>
        <v xml:space="preserve">   340120</v>
      </c>
      <c r="B5813" t="str">
        <f>T("   Savons en flocons, en paillettes, en granulés ou en poudres et savons liquides ou pâteux")</f>
        <v xml:space="preserve">   Savons en flocons, en paillettes, en granulés ou en poudres et savons liquides ou pâteux</v>
      </c>
      <c r="C5813">
        <v>2154375</v>
      </c>
      <c r="D5813">
        <v>8191</v>
      </c>
    </row>
    <row r="5814" spans="1:4" x14ac:dyDescent="0.25">
      <c r="A5814" t="str">
        <f>T("   340220")</f>
        <v xml:space="preserve">   340220</v>
      </c>
      <c r="B5814" t="s">
        <v>100</v>
      </c>
      <c r="C5814">
        <v>4029740</v>
      </c>
      <c r="D5814">
        <v>35750</v>
      </c>
    </row>
    <row r="5815" spans="1:4" x14ac:dyDescent="0.25">
      <c r="A5815" t="str">
        <f>T("   340290")</f>
        <v xml:space="preserve">   340290</v>
      </c>
      <c r="B5815" t="s">
        <v>101</v>
      </c>
      <c r="C5815">
        <v>4500000</v>
      </c>
      <c r="D5815">
        <v>36240</v>
      </c>
    </row>
    <row r="5816" spans="1:4" x14ac:dyDescent="0.25">
      <c r="A5816" t="str">
        <f>T("   360200")</f>
        <v xml:space="preserve">   360200</v>
      </c>
      <c r="B5816" t="str">
        <f>T("   Explosifs préparés (à l'excl. des poudres propulsives)")</f>
        <v xml:space="preserve">   Explosifs préparés (à l'excl. des poudres propulsives)</v>
      </c>
      <c r="C5816">
        <v>33882948</v>
      </c>
      <c r="D5816">
        <v>16000</v>
      </c>
    </row>
    <row r="5817" spans="1:4" x14ac:dyDescent="0.25">
      <c r="A5817" t="str">
        <f>T("   380840")</f>
        <v xml:space="preserve">   380840</v>
      </c>
      <c r="B5817"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5817">
        <v>70410</v>
      </c>
      <c r="D5817">
        <v>1040</v>
      </c>
    </row>
    <row r="5818" spans="1:4" x14ac:dyDescent="0.25">
      <c r="A5818" t="str">
        <f>T("   381400")</f>
        <v xml:space="preserve">   381400</v>
      </c>
      <c r="B5818"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5818">
        <v>3598164</v>
      </c>
      <c r="D5818">
        <v>11526</v>
      </c>
    </row>
    <row r="5819" spans="1:4" x14ac:dyDescent="0.25">
      <c r="A5819" t="str">
        <f>T("   382200")</f>
        <v xml:space="preserve">   382200</v>
      </c>
      <c r="B5819" t="s">
        <v>122</v>
      </c>
      <c r="C5819">
        <v>1546287</v>
      </c>
      <c r="D5819">
        <v>50</v>
      </c>
    </row>
    <row r="5820" spans="1:4" x14ac:dyDescent="0.25">
      <c r="A5820" t="str">
        <f>T("   382490")</f>
        <v xml:space="preserve">   382490</v>
      </c>
      <c r="B5820"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5820">
        <v>3276597</v>
      </c>
      <c r="D5820">
        <v>2880</v>
      </c>
    </row>
    <row r="5821" spans="1:4" x14ac:dyDescent="0.25">
      <c r="A5821" t="str">
        <f>T("   390319")</f>
        <v xml:space="preserve">   390319</v>
      </c>
      <c r="B5821" t="str">
        <f>T("   Polystyrène sous formes primaires (à l'excl. du polystyrène expansible)")</f>
        <v xml:space="preserve">   Polystyrène sous formes primaires (à l'excl. du polystyrène expansible)</v>
      </c>
      <c r="C5821">
        <v>1500000</v>
      </c>
      <c r="D5821">
        <v>692</v>
      </c>
    </row>
    <row r="5822" spans="1:4" x14ac:dyDescent="0.25">
      <c r="A5822" t="str">
        <f>T("   391000")</f>
        <v xml:space="preserve">   391000</v>
      </c>
      <c r="B5822" t="str">
        <f>T("   Silicones sous formes primaires")</f>
        <v xml:space="preserve">   Silicones sous formes primaires</v>
      </c>
      <c r="C5822">
        <v>9095675</v>
      </c>
      <c r="D5822">
        <v>2270</v>
      </c>
    </row>
    <row r="5823" spans="1:4" x14ac:dyDescent="0.25">
      <c r="A5823" t="str">
        <f>T("   391721")</f>
        <v xml:space="preserve">   391721</v>
      </c>
      <c r="B5823" t="str">
        <f>T("   TUBES ET TUYAUX RIGIDES, EN POLYMÈRES DE L'ÉTHYLÈNE")</f>
        <v xml:space="preserve">   TUBES ET TUYAUX RIGIDES, EN POLYMÈRES DE L'ÉTHYLÈNE</v>
      </c>
      <c r="C5823">
        <v>19276283</v>
      </c>
      <c r="D5823">
        <v>12459</v>
      </c>
    </row>
    <row r="5824" spans="1:4" x14ac:dyDescent="0.25">
      <c r="A5824" t="str">
        <f>T("   391723")</f>
        <v xml:space="preserve">   391723</v>
      </c>
      <c r="B5824" t="str">
        <f>T("   TUBES ET TUYAUX RIGIDES, EN POLYMÈRES DU CHLORURE DE VINYLE")</f>
        <v xml:space="preserve">   TUBES ET TUYAUX RIGIDES, EN POLYMÈRES DU CHLORURE DE VINYLE</v>
      </c>
      <c r="C5824">
        <v>106866367</v>
      </c>
      <c r="D5824">
        <v>184408</v>
      </c>
    </row>
    <row r="5825" spans="1:4" x14ac:dyDescent="0.25">
      <c r="A5825" t="str">
        <f>T("   392119")</f>
        <v xml:space="preserve">   392119</v>
      </c>
      <c r="B5825" t="s">
        <v>140</v>
      </c>
      <c r="C5825">
        <v>8479228</v>
      </c>
      <c r="D5825">
        <v>22700</v>
      </c>
    </row>
    <row r="5826" spans="1:4" x14ac:dyDescent="0.25">
      <c r="A5826" t="str">
        <f>T("   392210")</f>
        <v xml:space="preserve">   392210</v>
      </c>
      <c r="B5826" t="str">
        <f>T("   Baignoires, douches, éviers et lavabos, en matières plastiques")</f>
        <v xml:space="preserve">   Baignoires, douches, éviers et lavabos, en matières plastiques</v>
      </c>
      <c r="C5826">
        <v>733185</v>
      </c>
      <c r="D5826">
        <v>2863</v>
      </c>
    </row>
    <row r="5827" spans="1:4" x14ac:dyDescent="0.25">
      <c r="A5827" t="str">
        <f>T("   392310")</f>
        <v xml:space="preserve">   392310</v>
      </c>
      <c r="B5827" t="str">
        <f>T("   Boîtes, caisses, casiers et articles simil. pour le transport ou l'emballage, en matières plastiques")</f>
        <v xml:space="preserve">   Boîtes, caisses, casiers et articles simil. pour le transport ou l'emballage, en matières plastiques</v>
      </c>
      <c r="C5827">
        <v>40636</v>
      </c>
      <c r="D5827">
        <v>272</v>
      </c>
    </row>
    <row r="5828" spans="1:4" x14ac:dyDescent="0.25">
      <c r="A5828" t="str">
        <f>T("   392321")</f>
        <v xml:space="preserve">   392321</v>
      </c>
      <c r="B5828" t="str">
        <f>T("   Sacs, sachets, pochettes et cornets, en polymères de l'éthylène")</f>
        <v xml:space="preserve">   Sacs, sachets, pochettes et cornets, en polymères de l'éthylène</v>
      </c>
      <c r="C5828">
        <v>6450666</v>
      </c>
      <c r="D5828">
        <v>34146</v>
      </c>
    </row>
    <row r="5829" spans="1:4" x14ac:dyDescent="0.25">
      <c r="A5829" t="str">
        <f>T("   392329")</f>
        <v xml:space="preserve">   392329</v>
      </c>
      <c r="B5829" t="str">
        <f>T("   Sacs, sachets, pochettes et cornets, en matières plastiques (autres que les polymères de l'éthylène)")</f>
        <v xml:space="preserve">   Sacs, sachets, pochettes et cornets, en matières plastiques (autres que les polymères de l'éthylène)</v>
      </c>
      <c r="C5829">
        <v>85980994</v>
      </c>
      <c r="D5829">
        <v>485212</v>
      </c>
    </row>
    <row r="5830" spans="1:4" x14ac:dyDescent="0.25">
      <c r="A5830" t="str">
        <f>T("   392330")</f>
        <v xml:space="preserve">   392330</v>
      </c>
      <c r="B5830" t="str">
        <f>T("   Bonbonnes, bouteilles, flacons et articles simil. pour le transport ou l'emballage, en matières plastiques")</f>
        <v xml:space="preserve">   Bonbonnes, bouteilles, flacons et articles simil. pour le transport ou l'emballage, en matières plastiques</v>
      </c>
      <c r="C5830">
        <v>70381261</v>
      </c>
      <c r="D5830">
        <v>52092</v>
      </c>
    </row>
    <row r="5831" spans="1:4" x14ac:dyDescent="0.25">
      <c r="A5831" t="str">
        <f>T("   392340")</f>
        <v xml:space="preserve">   392340</v>
      </c>
      <c r="B5831" t="str">
        <f>T("   Bobines, fusettes, canettes et supports simil., en matières plastiques")</f>
        <v xml:space="preserve">   Bobines, fusettes, canettes et supports simil., en matières plastiques</v>
      </c>
      <c r="C5831">
        <v>2322457</v>
      </c>
      <c r="D5831">
        <v>4950</v>
      </c>
    </row>
    <row r="5832" spans="1:4" x14ac:dyDescent="0.25">
      <c r="A5832" t="str">
        <f>T("   392410")</f>
        <v xml:space="preserve">   392410</v>
      </c>
      <c r="B5832" t="str">
        <f>T("   Vaisselle et autres articles pour le service de la table ou de la cuisine, en matières plastiques")</f>
        <v xml:space="preserve">   Vaisselle et autres articles pour le service de la table ou de la cuisine, en matières plastiques</v>
      </c>
      <c r="C5832">
        <v>13531367</v>
      </c>
      <c r="D5832">
        <v>90666</v>
      </c>
    </row>
    <row r="5833" spans="1:4" x14ac:dyDescent="0.25">
      <c r="A5833" t="str">
        <f>T("   392490")</f>
        <v xml:space="preserve">   392490</v>
      </c>
      <c r="B5833" t="s">
        <v>143</v>
      </c>
      <c r="C5833">
        <v>1165415</v>
      </c>
      <c r="D5833">
        <v>5038</v>
      </c>
    </row>
    <row r="5834" spans="1:4" x14ac:dyDescent="0.25">
      <c r="A5834" t="str">
        <f>T("   392520")</f>
        <v xml:space="preserve">   392520</v>
      </c>
      <c r="B5834" t="str">
        <f>T("   Portes, fenêtres et leurs cadres, chambranles et seuils, en matières plastiques")</f>
        <v xml:space="preserve">   Portes, fenêtres et leurs cadres, chambranles et seuils, en matières plastiques</v>
      </c>
      <c r="C5834">
        <v>5208307</v>
      </c>
      <c r="D5834">
        <v>1600</v>
      </c>
    </row>
    <row r="5835" spans="1:4" x14ac:dyDescent="0.25">
      <c r="A5835" t="str">
        <f>T("   392590")</f>
        <v xml:space="preserve">   392590</v>
      </c>
      <c r="B5835" t="s">
        <v>144</v>
      </c>
      <c r="C5835">
        <v>33552427</v>
      </c>
      <c r="D5835">
        <v>30845</v>
      </c>
    </row>
    <row r="5836" spans="1:4" x14ac:dyDescent="0.25">
      <c r="A5836" t="str">
        <f>T("   392690")</f>
        <v xml:space="preserve">   392690</v>
      </c>
      <c r="B5836" t="str">
        <f>T("   Ouvrages en matières plastiques et ouvrages en autres matières du n° 3901 à 3914, n.d.a.")</f>
        <v xml:space="preserve">   Ouvrages en matières plastiques et ouvrages en autres matières du n° 3901 à 3914, n.d.a.</v>
      </c>
      <c r="C5836">
        <v>41000000</v>
      </c>
      <c r="D5836">
        <v>162333</v>
      </c>
    </row>
    <row r="5837" spans="1:4" x14ac:dyDescent="0.25">
      <c r="A5837" t="str">
        <f>T("   400829")</f>
        <v xml:space="preserve">   400829</v>
      </c>
      <c r="B5837" t="str">
        <f>T("   Baguettes et profilés, en caoutchouc non alvéolaire non durci")</f>
        <v xml:space="preserve">   Baguettes et profilés, en caoutchouc non alvéolaire non durci</v>
      </c>
      <c r="C5837">
        <v>682396</v>
      </c>
      <c r="D5837">
        <v>512</v>
      </c>
    </row>
    <row r="5838" spans="1:4" x14ac:dyDescent="0.25">
      <c r="A5838" t="str">
        <f>T("   400941")</f>
        <v xml:space="preserve">   400941</v>
      </c>
      <c r="B5838"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5838">
        <v>407666</v>
      </c>
      <c r="D5838">
        <v>1708</v>
      </c>
    </row>
    <row r="5839" spans="1:4" x14ac:dyDescent="0.25">
      <c r="A5839" t="str">
        <f>T("   401140")</f>
        <v xml:space="preserve">   401140</v>
      </c>
      <c r="B5839" t="str">
        <f>T("   Pneumatiques neufs, en caoutchouc, des types utilisés pour les motocycles")</f>
        <v xml:space="preserve">   Pneumatiques neufs, en caoutchouc, des types utilisés pour les motocycles</v>
      </c>
      <c r="C5839">
        <v>23133053</v>
      </c>
      <c r="D5839">
        <v>65150</v>
      </c>
    </row>
    <row r="5840" spans="1:4" x14ac:dyDescent="0.25">
      <c r="A5840" t="str">
        <f>T("   401390")</f>
        <v xml:space="preserve">   401390</v>
      </c>
      <c r="B5840"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5840">
        <v>1963679</v>
      </c>
      <c r="D5840">
        <v>6100</v>
      </c>
    </row>
    <row r="5841" spans="1:4" x14ac:dyDescent="0.25">
      <c r="A5841" t="str">
        <f>T("   420219")</f>
        <v xml:space="preserve">   420219</v>
      </c>
      <c r="B5841" t="s">
        <v>157</v>
      </c>
      <c r="C5841">
        <v>525360</v>
      </c>
      <c r="D5841">
        <v>750</v>
      </c>
    </row>
    <row r="5842" spans="1:4" x14ac:dyDescent="0.25">
      <c r="A5842" t="str">
        <f>T("   420229")</f>
        <v xml:space="preserve">   420229</v>
      </c>
      <c r="B5842"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5842">
        <v>7175371</v>
      </c>
      <c r="D5842">
        <v>58150</v>
      </c>
    </row>
    <row r="5843" spans="1:4" x14ac:dyDescent="0.25">
      <c r="A5843" t="str">
        <f>T("   420231")</f>
        <v xml:space="preserve">   420231</v>
      </c>
      <c r="B5843" t="str">
        <f>T("   Portefeuilles, porte-monnaie, étuis à clés ou à cigarettes, blagues à tabac et articles simil. de poche ou de sac à main, à surface extérieure en cuir naturel, en cuir reconstitué ou en cuir verni")</f>
        <v xml:space="preserve">   Portefeuilles, porte-monnaie, étuis à clés ou à cigarettes, blagues à tabac et articles simil. de poche ou de sac à main, à surface extérieure en cuir naturel, en cuir reconstitué ou en cuir verni</v>
      </c>
      <c r="C5843">
        <v>20403</v>
      </c>
      <c r="D5843">
        <v>28</v>
      </c>
    </row>
    <row r="5844" spans="1:4" x14ac:dyDescent="0.25">
      <c r="A5844" t="str">
        <f>T("   420291")</f>
        <v xml:space="preserve">   420291</v>
      </c>
      <c r="B5844" t="s">
        <v>159</v>
      </c>
      <c r="C5844">
        <v>1988133</v>
      </c>
      <c r="D5844">
        <v>18636</v>
      </c>
    </row>
    <row r="5845" spans="1:4" x14ac:dyDescent="0.25">
      <c r="A5845" t="str">
        <f>T("   440890")</f>
        <v xml:space="preserve">   440890</v>
      </c>
      <c r="B5845" t="s">
        <v>167</v>
      </c>
      <c r="C5845">
        <v>154862880</v>
      </c>
      <c r="D5845">
        <v>592542</v>
      </c>
    </row>
    <row r="5846" spans="1:4" x14ac:dyDescent="0.25">
      <c r="A5846" t="str">
        <f>T("   441111")</f>
        <v xml:space="preserve">   441111</v>
      </c>
      <c r="B5846" t="s">
        <v>171</v>
      </c>
      <c r="C5846">
        <v>414158</v>
      </c>
      <c r="D5846">
        <v>510</v>
      </c>
    </row>
    <row r="5847" spans="1:4" x14ac:dyDescent="0.25">
      <c r="A5847" t="str">
        <f>T("   441199")</f>
        <v xml:space="preserve">   441199</v>
      </c>
      <c r="B5847" t="s">
        <v>175</v>
      </c>
      <c r="C5847">
        <v>31420000</v>
      </c>
      <c r="D5847">
        <v>69489</v>
      </c>
    </row>
    <row r="5848" spans="1:4" x14ac:dyDescent="0.25">
      <c r="A5848" t="str">
        <f>T("   441213")</f>
        <v xml:space="preserve">   441213</v>
      </c>
      <c r="B5848" t="s">
        <v>176</v>
      </c>
      <c r="C5848">
        <v>54921079</v>
      </c>
      <c r="D5848">
        <v>185486</v>
      </c>
    </row>
    <row r="5849" spans="1:4" x14ac:dyDescent="0.25">
      <c r="A5849" t="str">
        <f>T("   441214")</f>
        <v xml:space="preserve">   441214</v>
      </c>
      <c r="B5849" t="s">
        <v>177</v>
      </c>
      <c r="C5849">
        <v>22177000</v>
      </c>
      <c r="D5849">
        <v>45074</v>
      </c>
    </row>
    <row r="5850" spans="1:4" x14ac:dyDescent="0.25">
      <c r="A5850" t="str">
        <f>T("   441219")</f>
        <v xml:space="preserve">   441219</v>
      </c>
      <c r="B5850" t="s">
        <v>178</v>
      </c>
      <c r="C5850">
        <v>10894000</v>
      </c>
      <c r="D5850">
        <v>26293</v>
      </c>
    </row>
    <row r="5851" spans="1:4" x14ac:dyDescent="0.25">
      <c r="A5851" t="str">
        <f>T("   441400")</f>
        <v xml:space="preserve">   441400</v>
      </c>
      <c r="B5851" t="str">
        <f>T("   Cadres en bois pour tableaux, photographies, miroirs ou objets simil.")</f>
        <v xml:space="preserve">   Cadres en bois pour tableaux, photographies, miroirs ou objets simil.</v>
      </c>
      <c r="C5851">
        <v>586326</v>
      </c>
      <c r="D5851">
        <v>70</v>
      </c>
    </row>
    <row r="5852" spans="1:4" x14ac:dyDescent="0.25">
      <c r="A5852" t="str">
        <f>T("   470790")</f>
        <v xml:space="preserve">   470790</v>
      </c>
      <c r="B5852" t="s">
        <v>186</v>
      </c>
      <c r="C5852">
        <v>18603342</v>
      </c>
      <c r="D5852">
        <v>193800</v>
      </c>
    </row>
    <row r="5853" spans="1:4" x14ac:dyDescent="0.25">
      <c r="A5853" t="str">
        <f>T("   480439")</f>
        <v xml:space="preserve">   480439</v>
      </c>
      <c r="B5853" t="s">
        <v>195</v>
      </c>
      <c r="C5853">
        <v>649160</v>
      </c>
      <c r="D5853">
        <v>851</v>
      </c>
    </row>
    <row r="5854" spans="1:4" x14ac:dyDescent="0.25">
      <c r="A5854" t="str">
        <f>T("   481031")</f>
        <v xml:space="preserve">   481031</v>
      </c>
      <c r="B5854" t="s">
        <v>205</v>
      </c>
      <c r="C5854">
        <v>1501779</v>
      </c>
      <c r="D5854">
        <v>1756</v>
      </c>
    </row>
    <row r="5855" spans="1:4" x14ac:dyDescent="0.25">
      <c r="A5855" t="str">
        <f>T("   481159")</f>
        <v xml:space="preserve">   481159</v>
      </c>
      <c r="B5855" t="s">
        <v>209</v>
      </c>
      <c r="C5855">
        <v>1024698</v>
      </c>
      <c r="D5855">
        <v>1605</v>
      </c>
    </row>
    <row r="5856" spans="1:4" x14ac:dyDescent="0.25">
      <c r="A5856" t="str">
        <f>T("   481840")</f>
        <v xml:space="preserve">   481840</v>
      </c>
      <c r="B5856"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5856">
        <v>18640751</v>
      </c>
      <c r="D5856">
        <v>63270</v>
      </c>
    </row>
    <row r="5857" spans="1:4" x14ac:dyDescent="0.25">
      <c r="A5857" t="str">
        <f>T("   481910")</f>
        <v xml:space="preserve">   481910</v>
      </c>
      <c r="B5857" t="str">
        <f>T("   Boîtes et caisses en papier ou en carton ondulé")</f>
        <v xml:space="preserve">   Boîtes et caisses en papier ou en carton ondulé</v>
      </c>
      <c r="C5857">
        <v>56002432</v>
      </c>
      <c r="D5857">
        <v>74614</v>
      </c>
    </row>
    <row r="5858" spans="1:4" x14ac:dyDescent="0.25">
      <c r="A5858" t="str">
        <f>T("   481920")</f>
        <v xml:space="preserve">   481920</v>
      </c>
      <c r="B5858" t="str">
        <f>T("   Boîtes et cartonnages, pliants, en papier ou en carton non ondulé")</f>
        <v xml:space="preserve">   Boîtes et cartonnages, pliants, en papier ou en carton non ondulé</v>
      </c>
      <c r="C5858">
        <v>2189806</v>
      </c>
      <c r="D5858">
        <v>8170</v>
      </c>
    </row>
    <row r="5859" spans="1:4" x14ac:dyDescent="0.25">
      <c r="A5859" t="str">
        <f>T("   490199")</f>
        <v xml:space="preserve">   490199</v>
      </c>
      <c r="B585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859">
        <v>1010207</v>
      </c>
      <c r="D5859">
        <v>963</v>
      </c>
    </row>
    <row r="5860" spans="1:4" x14ac:dyDescent="0.25">
      <c r="A5860" t="str">
        <f>T("   491000")</f>
        <v xml:space="preserve">   491000</v>
      </c>
      <c r="B5860" t="str">
        <f>T("   Calendriers de tous genres, imprimés, y.c. les blocs de calendriers à effeuiller")</f>
        <v xml:space="preserve">   Calendriers de tous genres, imprimés, y.c. les blocs de calendriers à effeuiller</v>
      </c>
      <c r="C5860">
        <v>120251</v>
      </c>
      <c r="D5860">
        <v>246</v>
      </c>
    </row>
    <row r="5861" spans="1:4" x14ac:dyDescent="0.25">
      <c r="A5861" t="str">
        <f>T("   520420")</f>
        <v xml:space="preserve">   520420</v>
      </c>
      <c r="B5861" t="str">
        <f>T("   Fils à coudre de coton, conditionnés pour la vente au détail")</f>
        <v xml:space="preserve">   Fils à coudre de coton, conditionnés pour la vente au détail</v>
      </c>
      <c r="C5861">
        <v>148900000</v>
      </c>
      <c r="D5861">
        <v>853608</v>
      </c>
    </row>
    <row r="5862" spans="1:4" x14ac:dyDescent="0.25">
      <c r="A5862" t="str">
        <f>T("   520852")</f>
        <v xml:space="preserve">   520852</v>
      </c>
      <c r="B5862" t="str">
        <f>T("   Tissus de coton, imprimés, à armure toile, contenant &gt;= 85% en poids de coton, d'un poids &gt; 100 g/m² mais &lt;= 200 g/m²")</f>
        <v xml:space="preserve">   Tissus de coton, imprimés, à armure toile, contenant &gt;= 85% en poids de coton, d'un poids &gt; 100 g/m² mais &lt;= 200 g/m²</v>
      </c>
      <c r="C5862">
        <v>1024834916</v>
      </c>
      <c r="D5862">
        <v>144444</v>
      </c>
    </row>
    <row r="5863" spans="1:4" x14ac:dyDescent="0.25">
      <c r="A5863" t="str">
        <f>T("   520859")</f>
        <v xml:space="preserve">   520859</v>
      </c>
      <c r="B5863" t="str">
        <f>T("   TISSUS DE COTON, IMPRIMÉS, CONTENANT &gt;= 85% EN POIDS DE COTON, D'UN POIDS &lt;= 200 G/M² (À L'EXCL. DES TISSUS À ARMURE TOILE)")</f>
        <v xml:space="preserve">   TISSUS DE COTON, IMPRIMÉS, CONTENANT &gt;= 85% EN POIDS DE COTON, D'UN POIDS &lt;= 200 G/M² (À L'EXCL. DES TISSUS À ARMURE TOILE)</v>
      </c>
      <c r="C5863">
        <v>909385</v>
      </c>
      <c r="D5863">
        <v>1000</v>
      </c>
    </row>
    <row r="5864" spans="1:4" x14ac:dyDescent="0.25">
      <c r="A5864" t="str">
        <f>T("   520951")</f>
        <v xml:space="preserve">   520951</v>
      </c>
      <c r="B5864" t="str">
        <f>T("   Tissus de coton, imprimés, à armure toile, contenant &gt;= 85% en poids de coton, d'un poids &gt; 200 g/m²")</f>
        <v xml:space="preserve">   Tissus de coton, imprimés, à armure toile, contenant &gt;= 85% en poids de coton, d'un poids &gt; 200 g/m²</v>
      </c>
      <c r="C5864">
        <v>14055647</v>
      </c>
      <c r="D5864">
        <v>3018</v>
      </c>
    </row>
    <row r="5865" spans="1:4" x14ac:dyDescent="0.25">
      <c r="A5865" t="str">
        <f>T("   551341")</f>
        <v xml:space="preserve">   551341</v>
      </c>
      <c r="B5865" t="str">
        <f>T("   Tissus, imprimés, de fibres discontinues de polyester, contenant en prédominance, mais &lt; 85% en poids de ces fibres, mélangés principalement ou uniquement avec du coton, à armure toile, d'un poids &lt;= 170 g/m²")</f>
        <v xml:space="preserve">   Tissus, imprimés, de fibres discontinues de polyester, contenant en prédominance, mais &lt; 85% en poids de ces fibres, mélangés principalement ou uniquement avec du coton, à armure toile, d'un poids &lt;= 170 g/m²</v>
      </c>
      <c r="C5865">
        <v>533312</v>
      </c>
      <c r="D5865">
        <v>7000</v>
      </c>
    </row>
    <row r="5866" spans="1:4" x14ac:dyDescent="0.25">
      <c r="A5866" t="str">
        <f>T("   560110")</f>
        <v xml:space="preserve">   560110</v>
      </c>
      <c r="B5866" t="str">
        <f>T("   Serviettes et tampons hygiéniques, couches pour bébés et articles hygiéniques simil., en ouates")</f>
        <v xml:space="preserve">   Serviettes et tampons hygiéniques, couches pour bébés et articles hygiéniques simil., en ouates</v>
      </c>
      <c r="C5866">
        <v>2290000</v>
      </c>
      <c r="D5866">
        <v>4251</v>
      </c>
    </row>
    <row r="5867" spans="1:4" x14ac:dyDescent="0.25">
      <c r="A5867" t="str">
        <f>T("   560811")</f>
        <v xml:space="preserve">   560811</v>
      </c>
      <c r="B5867"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5867">
        <v>152203</v>
      </c>
      <c r="D5867">
        <v>7000</v>
      </c>
    </row>
    <row r="5868" spans="1:4" x14ac:dyDescent="0.25">
      <c r="A5868" t="str">
        <f>T("   610990")</f>
        <v xml:space="preserve">   610990</v>
      </c>
      <c r="B5868" t="str">
        <f>T("   T-shirts et maillots de corps, en bonneterie, de matières textiles (sauf de coton)")</f>
        <v xml:space="preserve">   T-shirts et maillots de corps, en bonneterie, de matières textiles (sauf de coton)</v>
      </c>
      <c r="C5868">
        <v>6354277</v>
      </c>
      <c r="D5868">
        <v>26044</v>
      </c>
    </row>
    <row r="5869" spans="1:4" x14ac:dyDescent="0.25">
      <c r="A5869" t="str">
        <f>T("   620510")</f>
        <v xml:space="preserve">   620510</v>
      </c>
      <c r="B5869" t="str">
        <f>T("   Chemises et chemisettes, de laine ou poils fins, pour hommes ou garçonnets (autres qu'en bonneterie et sauf chemises de nuit et gilets de corps)")</f>
        <v xml:space="preserve">   Chemises et chemisettes, de laine ou poils fins, pour hommes ou garçonnets (autres qu'en bonneterie et sauf chemises de nuit et gilets de corps)</v>
      </c>
      <c r="C5869">
        <v>800000</v>
      </c>
      <c r="D5869">
        <v>20040</v>
      </c>
    </row>
    <row r="5870" spans="1:4" x14ac:dyDescent="0.25">
      <c r="A5870" t="str">
        <f>T("   630239")</f>
        <v xml:space="preserve">   630239</v>
      </c>
      <c r="B5870"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5870">
        <v>2889605</v>
      </c>
      <c r="D5870">
        <v>19929</v>
      </c>
    </row>
    <row r="5871" spans="1:4" x14ac:dyDescent="0.25">
      <c r="A5871" t="str">
        <f>T("   630293")</f>
        <v xml:space="preserve">   630293</v>
      </c>
      <c r="B5871" t="str">
        <f>T("   Linge de toilette ou de cuisine, de fibres synthétiques ou artificielles (sauf serpillières, chiffons à parquet, lavettes et chamoisettes)")</f>
        <v xml:space="preserve">   Linge de toilette ou de cuisine, de fibres synthétiques ou artificielles (sauf serpillières, chiffons à parquet, lavettes et chamoisettes)</v>
      </c>
      <c r="C5871">
        <v>100867</v>
      </c>
      <c r="D5871">
        <v>108</v>
      </c>
    </row>
    <row r="5872" spans="1:4" x14ac:dyDescent="0.25">
      <c r="A5872" t="str">
        <f>T("   630510")</f>
        <v xml:space="preserve">   630510</v>
      </c>
      <c r="B5872" t="str">
        <f>T("   Sacs et sachets d'emballage de jute ou d'autres fibres textiles libériennes du n° 5303")</f>
        <v xml:space="preserve">   Sacs et sachets d'emballage de jute ou d'autres fibres textiles libériennes du n° 5303</v>
      </c>
      <c r="C5872">
        <v>14123350</v>
      </c>
      <c r="D5872">
        <v>228120</v>
      </c>
    </row>
    <row r="5873" spans="1:4" x14ac:dyDescent="0.25">
      <c r="A5873" t="str">
        <f>T("   630900")</f>
        <v xml:space="preserve">   630900</v>
      </c>
      <c r="B5873" t="s">
        <v>273</v>
      </c>
      <c r="C5873">
        <v>142426876</v>
      </c>
      <c r="D5873">
        <v>264040</v>
      </c>
    </row>
    <row r="5874" spans="1:4" x14ac:dyDescent="0.25">
      <c r="A5874" t="str">
        <f>T("   640299")</f>
        <v xml:space="preserve">   640299</v>
      </c>
      <c r="B5874" t="s">
        <v>278</v>
      </c>
      <c r="C5874">
        <v>5614121</v>
      </c>
      <c r="D5874">
        <v>56529</v>
      </c>
    </row>
    <row r="5875" spans="1:4" x14ac:dyDescent="0.25">
      <c r="A5875" t="str">
        <f>T("   660199")</f>
        <v xml:space="preserve">   660199</v>
      </c>
      <c r="B5875"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5875">
        <v>149769</v>
      </c>
      <c r="D5875">
        <v>166</v>
      </c>
    </row>
    <row r="5876" spans="1:4" x14ac:dyDescent="0.25">
      <c r="A5876" t="str">
        <f>T("   690890")</f>
        <v xml:space="preserve">   690890</v>
      </c>
      <c r="B5876" t="s">
        <v>307</v>
      </c>
      <c r="C5876">
        <v>859710</v>
      </c>
      <c r="D5876">
        <v>10825</v>
      </c>
    </row>
    <row r="5877" spans="1:4" x14ac:dyDescent="0.25">
      <c r="A5877" t="str">
        <f>T("   720690")</f>
        <v xml:space="preserve">   720690</v>
      </c>
      <c r="B5877" t="str">
        <f>T("   FER ET ACIERS NON ALLIÉS EN LOUPES BRUTES OU AUTRES FORMES BRUTES (AUTRES QUE LINGOTS BRUTS, DÉCHETS LINGOTÉS, PRODUITS DE COULÉE CONTINUE ET PRODUITS FERREUX OBTENUS PAR RÉDUCTION DIRECTE DES MINERAIS DE FER)")</f>
        <v xml:space="preserve">   FER ET ACIERS NON ALLIÉS EN LOUPES BRUTES OU AUTRES FORMES BRUTES (AUTRES QUE LINGOTS BRUTS, DÉCHETS LINGOTÉS, PRODUITS DE COULÉE CONTINUE ET PRODUITS FERREUX OBTENUS PAR RÉDUCTION DIRECTE DES MINERAIS DE FER)</v>
      </c>
      <c r="C5877">
        <v>3790316</v>
      </c>
      <c r="D5877">
        <v>9000</v>
      </c>
    </row>
    <row r="5878" spans="1:4" x14ac:dyDescent="0.25">
      <c r="A5878" t="str">
        <f>T("   721041")</f>
        <v xml:space="preserve">   721041</v>
      </c>
      <c r="B5878"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5878">
        <v>528282746</v>
      </c>
      <c r="D5878">
        <v>1084290</v>
      </c>
    </row>
    <row r="5879" spans="1:4" x14ac:dyDescent="0.25">
      <c r="A5879" t="str">
        <f>T("   721090")</f>
        <v xml:space="preserve">   721090</v>
      </c>
      <c r="B5879" t="s">
        <v>337</v>
      </c>
      <c r="C5879">
        <v>28403924</v>
      </c>
      <c r="D5879">
        <v>80000</v>
      </c>
    </row>
    <row r="5880" spans="1:4" x14ac:dyDescent="0.25">
      <c r="A5880" t="str">
        <f>T("   721420")</f>
        <v xml:space="preserve">   721420</v>
      </c>
      <c r="B5880"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5880">
        <v>57385213</v>
      </c>
      <c r="D5880">
        <v>235000</v>
      </c>
    </row>
    <row r="5881" spans="1:4" x14ac:dyDescent="0.25">
      <c r="A5881" t="str">
        <f>T("   721499")</f>
        <v xml:space="preserve">   721499</v>
      </c>
      <c r="B5881" t="s">
        <v>340</v>
      </c>
      <c r="C5881">
        <v>75856481</v>
      </c>
      <c r="D5881">
        <v>320000</v>
      </c>
    </row>
    <row r="5882" spans="1:4" x14ac:dyDescent="0.25">
      <c r="A5882" t="str">
        <f>T("   721661")</f>
        <v xml:space="preserve">   721661</v>
      </c>
      <c r="B5882"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5882">
        <v>33297556</v>
      </c>
      <c r="D5882">
        <v>83000</v>
      </c>
    </row>
    <row r="5883" spans="1:4" x14ac:dyDescent="0.25">
      <c r="A5883" t="str">
        <f>T("   721790")</f>
        <v xml:space="preserve">   721790</v>
      </c>
      <c r="B5883"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5883">
        <v>7385000</v>
      </c>
      <c r="D5883">
        <v>21900</v>
      </c>
    </row>
    <row r="5884" spans="1:4" x14ac:dyDescent="0.25">
      <c r="A5884" t="str">
        <f>T("   730630")</f>
        <v xml:space="preserve">   730630</v>
      </c>
      <c r="B5884" t="s">
        <v>345</v>
      </c>
      <c r="C5884">
        <v>31364852</v>
      </c>
      <c r="D5884">
        <v>90000</v>
      </c>
    </row>
    <row r="5885" spans="1:4" x14ac:dyDescent="0.25">
      <c r="A5885" t="str">
        <f>T("   730660")</f>
        <v xml:space="preserve">   730660</v>
      </c>
      <c r="B5885" t="s">
        <v>348</v>
      </c>
      <c r="C5885">
        <v>24294000</v>
      </c>
      <c r="D5885">
        <v>60000</v>
      </c>
    </row>
    <row r="5886" spans="1:4" x14ac:dyDescent="0.25">
      <c r="A5886" t="str">
        <f>T("   730690")</f>
        <v xml:space="preserve">   730690</v>
      </c>
      <c r="B5886"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5886">
        <v>68660754</v>
      </c>
      <c r="D5886">
        <v>150552</v>
      </c>
    </row>
    <row r="5887" spans="1:4" x14ac:dyDescent="0.25">
      <c r="A5887" t="str">
        <f>T("   730799")</f>
        <v xml:space="preserve">   730799</v>
      </c>
      <c r="B5887"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5887">
        <v>369305</v>
      </c>
      <c r="D5887">
        <v>200</v>
      </c>
    </row>
    <row r="5888" spans="1:4" x14ac:dyDescent="0.25">
      <c r="A5888" t="str">
        <f>T("   730830")</f>
        <v xml:space="preserve">   730830</v>
      </c>
      <c r="B5888" t="str">
        <f>T("   Portes, fenêtres et leurs cadres et chambranles ainsi que leurs seuils, en fer ou en acier")</f>
        <v xml:space="preserve">   Portes, fenêtres et leurs cadres et chambranles ainsi que leurs seuils, en fer ou en acier</v>
      </c>
      <c r="C5888">
        <v>210144</v>
      </c>
      <c r="D5888">
        <v>850</v>
      </c>
    </row>
    <row r="5889" spans="1:4" x14ac:dyDescent="0.25">
      <c r="A5889" t="str">
        <f>T("   730890")</f>
        <v xml:space="preserve">   730890</v>
      </c>
      <c r="B5889" t="s">
        <v>349</v>
      </c>
      <c r="C5889">
        <v>42151781</v>
      </c>
      <c r="D5889">
        <v>23230</v>
      </c>
    </row>
    <row r="5890" spans="1:4" x14ac:dyDescent="0.25">
      <c r="A5890" t="str">
        <f>T("   730900")</f>
        <v xml:space="preserve">   730900</v>
      </c>
      <c r="B5890" t="s">
        <v>350</v>
      </c>
      <c r="C5890">
        <v>1052816</v>
      </c>
      <c r="D5890">
        <v>168</v>
      </c>
    </row>
    <row r="5891" spans="1:4" x14ac:dyDescent="0.25">
      <c r="A5891" t="str">
        <f>T("   731815")</f>
        <v xml:space="preserve">   731815</v>
      </c>
      <c r="B5891" t="s">
        <v>354</v>
      </c>
      <c r="C5891">
        <v>423435</v>
      </c>
      <c r="D5891">
        <v>1707</v>
      </c>
    </row>
    <row r="5892" spans="1:4" x14ac:dyDescent="0.25">
      <c r="A5892" t="str">
        <f>T("   731816")</f>
        <v xml:space="preserve">   731816</v>
      </c>
      <c r="B5892" t="str">
        <f>T("   ÉCROUS EN FONTE, FER OU ACIER")</f>
        <v xml:space="preserve">   ÉCROUS EN FONTE, FER OU ACIER</v>
      </c>
      <c r="C5892">
        <v>133153</v>
      </c>
      <c r="D5892">
        <v>1138</v>
      </c>
    </row>
    <row r="5893" spans="1:4" x14ac:dyDescent="0.25">
      <c r="A5893" t="str">
        <f>T("   732010")</f>
        <v xml:space="preserve">   732010</v>
      </c>
      <c r="B5893" t="str">
        <f>T("   RESSORTS À LAMES ET LEURS LAMES, EN FER OU EN ACIER (À L'EXCL. DES RESSORTS DE MONTRES ET DES RESSORTS À BARRE DE TORSION DE LA SECTION 17)")</f>
        <v xml:space="preserve">   RESSORTS À LAMES ET LEURS LAMES, EN FER OU EN ACIER (À L'EXCL. DES RESSORTS DE MONTRES ET DES RESSORTS À BARRE DE TORSION DE LA SECTION 17)</v>
      </c>
      <c r="C5893">
        <v>6205665</v>
      </c>
      <c r="D5893">
        <v>15500</v>
      </c>
    </row>
    <row r="5894" spans="1:4" x14ac:dyDescent="0.25">
      <c r="A5894" t="str">
        <f>T("   732392")</f>
        <v xml:space="preserve">   732392</v>
      </c>
      <c r="B5894" t="s">
        <v>360</v>
      </c>
      <c r="C5894">
        <v>14100000</v>
      </c>
      <c r="D5894">
        <v>33370</v>
      </c>
    </row>
    <row r="5895" spans="1:4" x14ac:dyDescent="0.25">
      <c r="A5895" t="str">
        <f>T("   732399")</f>
        <v xml:space="preserve">   732399</v>
      </c>
      <c r="B5895" t="s">
        <v>363</v>
      </c>
      <c r="C5895">
        <v>25661920</v>
      </c>
      <c r="D5895">
        <v>105450</v>
      </c>
    </row>
    <row r="5896" spans="1:4" x14ac:dyDescent="0.25">
      <c r="A5896" t="str">
        <f>T("   732599")</f>
        <v xml:space="preserve">   732599</v>
      </c>
      <c r="B5896"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5896">
        <v>204890</v>
      </c>
      <c r="D5896">
        <v>2150</v>
      </c>
    </row>
    <row r="5897" spans="1:4" x14ac:dyDescent="0.25">
      <c r="A5897" t="str">
        <f>T("   732690")</f>
        <v xml:space="preserve">   732690</v>
      </c>
      <c r="B5897"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5897">
        <v>175797</v>
      </c>
      <c r="D5897">
        <v>28</v>
      </c>
    </row>
    <row r="5898" spans="1:4" x14ac:dyDescent="0.25">
      <c r="A5898" t="str">
        <f>T("   761010")</f>
        <v xml:space="preserve">   761010</v>
      </c>
      <c r="B5898" t="str">
        <f>T("   Portes, fenêtres et leurs cadres, chambranles et seuils, en aluminium (sauf pièces de garnissage)")</f>
        <v xml:space="preserve">   Portes, fenêtres et leurs cadres, chambranles et seuils, en aluminium (sauf pièces de garnissage)</v>
      </c>
      <c r="C5898">
        <v>1498553</v>
      </c>
      <c r="D5898">
        <v>8170</v>
      </c>
    </row>
    <row r="5899" spans="1:4" x14ac:dyDescent="0.25">
      <c r="A5899" t="str">
        <f>T("   761511")</f>
        <v xml:space="preserve">   761511</v>
      </c>
      <c r="B5899" t="str">
        <f>T("   Eponges, torchons, gants et articles simil. pour le récurage, le polissage et usages analogues, en aluminium (à l'excl. des articles d'hygiène et de toilette)")</f>
        <v xml:space="preserve">   Eponges, torchons, gants et articles simil. pour le récurage, le polissage et usages analogues, en aluminium (à l'excl. des articles d'hygiène et de toilette)</v>
      </c>
      <c r="C5899">
        <v>16645905</v>
      </c>
      <c r="D5899">
        <v>12900</v>
      </c>
    </row>
    <row r="5900" spans="1:4" x14ac:dyDescent="0.25">
      <c r="A5900" t="str">
        <f>T("   761519")</f>
        <v xml:space="preserve">   761519</v>
      </c>
      <c r="B5900" t="s">
        <v>373</v>
      </c>
      <c r="C5900">
        <v>59690343</v>
      </c>
      <c r="D5900">
        <v>142905</v>
      </c>
    </row>
    <row r="5901" spans="1:4" x14ac:dyDescent="0.25">
      <c r="A5901" t="str">
        <f>T("   761520")</f>
        <v xml:space="preserve">   761520</v>
      </c>
      <c r="B5901" t="str">
        <f>T("   Articles d'hygiène ou de toilette, et leurs parties, en aluminium (sauf bidons, boîtes et récipients simil. du n° 7612 et sauf accessoires de tuyauterie)")</f>
        <v xml:space="preserve">   Articles d'hygiène ou de toilette, et leurs parties, en aluminium (sauf bidons, boîtes et récipients simil. du n° 7612 et sauf accessoires de tuyauterie)</v>
      </c>
      <c r="C5901">
        <v>9202227</v>
      </c>
      <c r="D5901">
        <v>23089</v>
      </c>
    </row>
    <row r="5902" spans="1:4" x14ac:dyDescent="0.25">
      <c r="A5902" t="str">
        <f>T("   820559")</f>
        <v xml:space="preserve">   820559</v>
      </c>
      <c r="B5902" t="str">
        <f>T("   Outils à main, y.c. -les diamants de vitrier-, en métaux communs, n.d.a.")</f>
        <v xml:space="preserve">   Outils à main, y.c. -les diamants de vitrier-, en métaux communs, n.d.a.</v>
      </c>
      <c r="C5902">
        <v>1912779</v>
      </c>
      <c r="D5902">
        <v>925</v>
      </c>
    </row>
    <row r="5903" spans="1:4" x14ac:dyDescent="0.25">
      <c r="A5903" t="str">
        <f>T("   821210")</f>
        <v xml:space="preserve">   821210</v>
      </c>
      <c r="B5903" t="str">
        <f>T("   Rasoirs et rasoirs de sûreté non-électriques, en métaux communs")</f>
        <v xml:space="preserve">   Rasoirs et rasoirs de sûreté non-électriques, en métaux communs</v>
      </c>
      <c r="C5903">
        <v>3490</v>
      </c>
      <c r="D5903">
        <v>40</v>
      </c>
    </row>
    <row r="5904" spans="1:4" x14ac:dyDescent="0.25">
      <c r="A5904" t="str">
        <f>T("   830630")</f>
        <v xml:space="preserve">   830630</v>
      </c>
      <c r="B5904" t="str">
        <f>T("   Cadres pour photographies, gravures ou simil., en métaux communs; miroirs, en métaux communs (sauf éléments optiques)")</f>
        <v xml:space="preserve">   Cadres pour photographies, gravures ou simil., en métaux communs; miroirs, en métaux communs (sauf éléments optiques)</v>
      </c>
      <c r="C5904">
        <v>67236</v>
      </c>
      <c r="D5904">
        <v>34</v>
      </c>
    </row>
    <row r="5905" spans="1:4" x14ac:dyDescent="0.25">
      <c r="A5905" t="str">
        <f>T("   830910")</f>
        <v xml:space="preserve">   830910</v>
      </c>
      <c r="B5905" t="str">
        <f>T("   Bouchons-couronnes en métaux communs")</f>
        <v xml:space="preserve">   Bouchons-couronnes en métaux communs</v>
      </c>
      <c r="C5905">
        <v>1954948</v>
      </c>
      <c r="D5905">
        <v>648</v>
      </c>
    </row>
    <row r="5906" spans="1:4" x14ac:dyDescent="0.25">
      <c r="A5906" t="str">
        <f>T("   841381")</f>
        <v xml:space="preserve">   841381</v>
      </c>
      <c r="B5906" t="s">
        <v>398</v>
      </c>
      <c r="C5906">
        <v>638380</v>
      </c>
      <c r="D5906">
        <v>4</v>
      </c>
    </row>
    <row r="5907" spans="1:4" x14ac:dyDescent="0.25">
      <c r="A5907" t="str">
        <f>T("   841440")</f>
        <v xml:space="preserve">   841440</v>
      </c>
      <c r="B5907" t="str">
        <f>T("   Compresseurs d'air montés sur châssis à roues et remorquables")</f>
        <v xml:space="preserve">   Compresseurs d'air montés sur châssis à roues et remorquables</v>
      </c>
      <c r="C5907">
        <v>5615674</v>
      </c>
      <c r="D5907">
        <v>900</v>
      </c>
    </row>
    <row r="5908" spans="1:4" x14ac:dyDescent="0.25">
      <c r="A5908" t="str">
        <f>T("   841459")</f>
        <v xml:space="preserve">   841459</v>
      </c>
      <c r="B5908"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5908">
        <v>16165053</v>
      </c>
      <c r="D5908">
        <v>32650</v>
      </c>
    </row>
    <row r="5909" spans="1:4" x14ac:dyDescent="0.25">
      <c r="A5909" t="str">
        <f>T("   841490")</f>
        <v xml:space="preserve">   841490</v>
      </c>
      <c r="B5909"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5909">
        <v>2213281</v>
      </c>
      <c r="D5909">
        <v>624</v>
      </c>
    </row>
    <row r="5910" spans="1:4" x14ac:dyDescent="0.25">
      <c r="A5910" t="str">
        <f>T("   841810")</f>
        <v xml:space="preserve">   841810</v>
      </c>
      <c r="B5910" t="str">
        <f>T("   Réfrigérateurs et congélateurs-conservateurs combinés, avec portes extérieures séparées")</f>
        <v xml:space="preserve">   Réfrigérateurs et congélateurs-conservateurs combinés, avec portes extérieures séparées</v>
      </c>
      <c r="C5910">
        <v>3002982</v>
      </c>
      <c r="D5910">
        <v>11000</v>
      </c>
    </row>
    <row r="5911" spans="1:4" x14ac:dyDescent="0.25">
      <c r="A5911" t="str">
        <f>T("   841829")</f>
        <v xml:space="preserve">   841829</v>
      </c>
      <c r="B5911" t="str">
        <f>T("   Réfrigérateurs ménagers à absorption, non-électriques")</f>
        <v xml:space="preserve">   Réfrigérateurs ménagers à absorption, non-électriques</v>
      </c>
      <c r="C5911">
        <v>150052</v>
      </c>
      <c r="D5911">
        <v>650</v>
      </c>
    </row>
    <row r="5912" spans="1:4" x14ac:dyDescent="0.25">
      <c r="A5912" t="str">
        <f>T("   842121")</f>
        <v xml:space="preserve">   842121</v>
      </c>
      <c r="B5912" t="str">
        <f>T("   Appareils pour la filtration ou l'épuration des eaux")</f>
        <v xml:space="preserve">   Appareils pour la filtration ou l'épuration des eaux</v>
      </c>
      <c r="C5912">
        <v>246386</v>
      </c>
      <c r="D5912">
        <v>383</v>
      </c>
    </row>
    <row r="5913" spans="1:4" x14ac:dyDescent="0.25">
      <c r="A5913" t="str">
        <f>T("   842123")</f>
        <v xml:space="preserve">   842123</v>
      </c>
      <c r="B5913"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5913">
        <v>2094144</v>
      </c>
      <c r="D5913">
        <v>5125</v>
      </c>
    </row>
    <row r="5914" spans="1:4" x14ac:dyDescent="0.25">
      <c r="A5914" t="str">
        <f>T("   842790")</f>
        <v xml:space="preserve">   842790</v>
      </c>
      <c r="B5914" t="str">
        <f>T("   Chariots de manutention munis d'un dispositif de levage mais non autopropulsés")</f>
        <v xml:space="preserve">   Chariots de manutention munis d'un dispositif de levage mais non autopropulsés</v>
      </c>
      <c r="C5914">
        <v>18202890</v>
      </c>
      <c r="D5914">
        <v>19500</v>
      </c>
    </row>
    <row r="5915" spans="1:4" x14ac:dyDescent="0.25">
      <c r="A5915" t="str">
        <f>T("   843049")</f>
        <v xml:space="preserve">   843049</v>
      </c>
      <c r="B5915"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5915">
        <v>7200316</v>
      </c>
      <c r="D5915">
        <v>4800</v>
      </c>
    </row>
    <row r="5916" spans="1:4" x14ac:dyDescent="0.25">
      <c r="A5916" t="str">
        <f>T("   843149")</f>
        <v xml:space="preserve">   843149</v>
      </c>
      <c r="B5916" t="str">
        <f>T("   Parties de machines et appareils du n° 8426, 8429 ou 8430, n.d.a.")</f>
        <v xml:space="preserve">   Parties de machines et appareils du n° 8426, 8429 ou 8430, n.d.a.</v>
      </c>
      <c r="C5916">
        <v>2615837</v>
      </c>
      <c r="D5916">
        <v>3532</v>
      </c>
    </row>
    <row r="5917" spans="1:4" x14ac:dyDescent="0.25">
      <c r="A5917" t="str">
        <f>T("   846299")</f>
        <v xml:space="preserve">   846299</v>
      </c>
      <c r="B5917" t="str">
        <f>T("   Presses autres qu'hydrauliques pour le travail des métaux (à l'excl. des presses à forger, à rouler, à cintrer, dresser ou planer)")</f>
        <v xml:space="preserve">   Presses autres qu'hydrauliques pour le travail des métaux (à l'excl. des presses à forger, à rouler, à cintrer, dresser ou planer)</v>
      </c>
      <c r="C5917">
        <v>35520697</v>
      </c>
      <c r="D5917">
        <v>107050</v>
      </c>
    </row>
    <row r="5918" spans="1:4" x14ac:dyDescent="0.25">
      <c r="A5918" t="str">
        <f>T("   847010")</f>
        <v xml:space="preserve">   847010</v>
      </c>
      <c r="B5918" t="s">
        <v>433</v>
      </c>
      <c r="C5918">
        <v>6419</v>
      </c>
      <c r="D5918">
        <v>3</v>
      </c>
    </row>
    <row r="5919" spans="1:4" x14ac:dyDescent="0.25">
      <c r="A5919" t="str">
        <f>T("   847170")</f>
        <v xml:space="preserve">   847170</v>
      </c>
      <c r="B5919" t="str">
        <f>T("   UNITÉS DE MÉMOIRE POUR MACHINES AUTOMATIQUES DE TRAITEMENT DE L'INFORMATION")</f>
        <v xml:space="preserve">   UNITÉS DE MÉMOIRE POUR MACHINES AUTOMATIQUES DE TRAITEMENT DE L'INFORMATION</v>
      </c>
      <c r="C5919">
        <v>59945</v>
      </c>
      <c r="D5919">
        <v>87</v>
      </c>
    </row>
    <row r="5920" spans="1:4" x14ac:dyDescent="0.25">
      <c r="A5920" t="str">
        <f>T("   847190")</f>
        <v xml:space="preserve">   847190</v>
      </c>
      <c r="B592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5920">
        <v>2987987</v>
      </c>
      <c r="D5920">
        <v>94</v>
      </c>
    </row>
    <row r="5921" spans="1:4" x14ac:dyDescent="0.25">
      <c r="A5921" t="str">
        <f>T("   847410")</f>
        <v xml:space="preserve">   847410</v>
      </c>
      <c r="B5921" t="str">
        <f>T("   Machines et appareils à trier, cribler, séparer ou laver les matières minérales solides, y.c. -les poudres et les pâtes- (à l'excl. des centrifugeuses et des filtres-presses)")</f>
        <v xml:space="preserve">   Machines et appareils à trier, cribler, séparer ou laver les matières minérales solides, y.c. -les poudres et les pâtes- (à l'excl. des centrifugeuses et des filtres-presses)</v>
      </c>
      <c r="C5921">
        <v>359513</v>
      </c>
      <c r="D5921">
        <v>4000</v>
      </c>
    </row>
    <row r="5922" spans="1:4" x14ac:dyDescent="0.25">
      <c r="A5922" t="str">
        <f>T("   847480")</f>
        <v xml:space="preserve">   847480</v>
      </c>
      <c r="B5922" t="s">
        <v>437</v>
      </c>
      <c r="C5922">
        <v>350939</v>
      </c>
      <c r="D5922">
        <v>56</v>
      </c>
    </row>
    <row r="5923" spans="1:4" x14ac:dyDescent="0.25">
      <c r="A5923" t="str">
        <f>T("   847490")</f>
        <v xml:space="preserve">   847490</v>
      </c>
      <c r="B5923" t="str">
        <f>T("   Parties des machines et appareils pour le travail des matières minérales du n° 8474, n.d.a.")</f>
        <v xml:space="preserve">   Parties des machines et appareils pour le travail des matières minérales du n° 8474, n.d.a.</v>
      </c>
      <c r="C5923">
        <v>89132081</v>
      </c>
      <c r="D5923">
        <v>28461</v>
      </c>
    </row>
    <row r="5924" spans="1:4" x14ac:dyDescent="0.25">
      <c r="A5924" t="str">
        <f>T("   847989")</f>
        <v xml:space="preserve">   847989</v>
      </c>
      <c r="B5924" t="str">
        <f>T("   Machines et appareils, y.c. les appareils mécaniques, n.d.a.")</f>
        <v xml:space="preserve">   Machines et appareils, y.c. les appareils mécaniques, n.d.a.</v>
      </c>
      <c r="C5924">
        <v>6067630</v>
      </c>
      <c r="D5924">
        <v>6500</v>
      </c>
    </row>
    <row r="5925" spans="1:4" x14ac:dyDescent="0.25">
      <c r="A5925" t="str">
        <f>T("   848490")</f>
        <v xml:space="preserve">   848490</v>
      </c>
      <c r="B5925" t="str">
        <f>T("   Jeux ou assortiments de joints de composition différente présentés en pochettes, enveloppes ou emballages analogues")</f>
        <v xml:space="preserve">   Jeux ou assortiments de joints de composition différente présentés en pochettes, enveloppes ou emballages analogues</v>
      </c>
      <c r="C5925">
        <v>1461479</v>
      </c>
      <c r="D5925">
        <v>788</v>
      </c>
    </row>
    <row r="5926" spans="1:4" x14ac:dyDescent="0.25">
      <c r="A5926" t="str">
        <f>T("   850211")</f>
        <v xml:space="preserve">   850211</v>
      </c>
      <c r="B5926" t="s">
        <v>444</v>
      </c>
      <c r="C5926">
        <v>500000</v>
      </c>
      <c r="D5926">
        <v>170</v>
      </c>
    </row>
    <row r="5927" spans="1:4" x14ac:dyDescent="0.25">
      <c r="A5927" t="str">
        <f>T("   850423")</f>
        <v xml:space="preserve">   850423</v>
      </c>
      <c r="B5927" t="str">
        <f>T("   Transformateurs à diélectrique liquide, puissance &gt; 10.000 kVA")</f>
        <v xml:space="preserve">   Transformateurs à diélectrique liquide, puissance &gt; 10.000 kVA</v>
      </c>
      <c r="C5927">
        <v>54778977</v>
      </c>
      <c r="D5927">
        <v>9200</v>
      </c>
    </row>
    <row r="5928" spans="1:4" x14ac:dyDescent="0.25">
      <c r="A5928" t="str">
        <f>T("   850440")</f>
        <v xml:space="preserve">   850440</v>
      </c>
      <c r="B5928" t="str">
        <f>T("   CONVERTISSEURS STATIQUES")</f>
        <v xml:space="preserve">   CONVERTISSEURS STATIQUES</v>
      </c>
      <c r="C5928">
        <v>1100000</v>
      </c>
      <c r="D5928">
        <v>2500</v>
      </c>
    </row>
    <row r="5929" spans="1:4" x14ac:dyDescent="0.25">
      <c r="A5929" t="str">
        <f>T("   850610")</f>
        <v xml:space="preserve">   850610</v>
      </c>
      <c r="B5929" t="str">
        <f>T("   Piles et batteries de piles électriques, au bioxyde de manganèse (sauf hors d'usage)")</f>
        <v xml:space="preserve">   Piles et batteries de piles électriques, au bioxyde de manganèse (sauf hors d'usage)</v>
      </c>
      <c r="C5929">
        <v>108658</v>
      </c>
      <c r="D5929">
        <v>3950</v>
      </c>
    </row>
    <row r="5930" spans="1:4" x14ac:dyDescent="0.25">
      <c r="A5930" t="str">
        <f>T("   850680")</f>
        <v xml:space="preserve">   850680</v>
      </c>
      <c r="B5930"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5930">
        <v>773130</v>
      </c>
      <c r="D5930">
        <v>8808</v>
      </c>
    </row>
    <row r="5931" spans="1:4" x14ac:dyDescent="0.25">
      <c r="A5931" t="str">
        <f>T("   850940")</f>
        <v xml:space="preserve">   850940</v>
      </c>
      <c r="B5931"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5931">
        <v>494689</v>
      </c>
      <c r="D5931">
        <v>725</v>
      </c>
    </row>
    <row r="5932" spans="1:4" x14ac:dyDescent="0.25">
      <c r="A5932" t="str">
        <f>T("   851640")</f>
        <v xml:space="preserve">   851640</v>
      </c>
      <c r="B5932" t="str">
        <f>T("   Fers à repasser électriques")</f>
        <v xml:space="preserve">   Fers à repasser électriques</v>
      </c>
      <c r="C5932">
        <v>123193</v>
      </c>
      <c r="D5932">
        <v>152</v>
      </c>
    </row>
    <row r="5933" spans="1:4" x14ac:dyDescent="0.25">
      <c r="A5933" t="str">
        <f>T("   851660")</f>
        <v xml:space="preserve">   851660</v>
      </c>
      <c r="B5933"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5933">
        <v>1200000</v>
      </c>
      <c r="D5933">
        <v>3000</v>
      </c>
    </row>
    <row r="5934" spans="1:4" x14ac:dyDescent="0.25">
      <c r="A5934" t="str">
        <f>T("   851719")</f>
        <v xml:space="preserve">   851719</v>
      </c>
      <c r="B5934"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5934">
        <v>3314422</v>
      </c>
      <c r="D5934">
        <v>1644</v>
      </c>
    </row>
    <row r="5935" spans="1:4" x14ac:dyDescent="0.25">
      <c r="A5935" t="str">
        <f>T("   851780")</f>
        <v xml:space="preserve">   851780</v>
      </c>
      <c r="B5935" t="s">
        <v>453</v>
      </c>
      <c r="C5935">
        <v>288622</v>
      </c>
      <c r="D5935">
        <v>119</v>
      </c>
    </row>
    <row r="5936" spans="1:4" x14ac:dyDescent="0.25">
      <c r="A5936" t="str">
        <f>T("   852460")</f>
        <v xml:space="preserve">   852460</v>
      </c>
      <c r="B5936" t="str">
        <f>T("   Cartes munies d'une piste magnétique enregistrée")</f>
        <v xml:space="preserve">   Cartes munies d'une piste magnétique enregistrée</v>
      </c>
      <c r="C5936">
        <v>292551</v>
      </c>
      <c r="D5936">
        <v>24</v>
      </c>
    </row>
    <row r="5937" spans="1:4" x14ac:dyDescent="0.25">
      <c r="A5937" t="str">
        <f>T("   852719")</f>
        <v xml:space="preserve">   852719</v>
      </c>
      <c r="B5937"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5937">
        <v>3002982</v>
      </c>
      <c r="D5937">
        <v>18000</v>
      </c>
    </row>
    <row r="5938" spans="1:4" x14ac:dyDescent="0.25">
      <c r="A5938" t="str">
        <f>T("   852812")</f>
        <v xml:space="preserve">   852812</v>
      </c>
      <c r="B5938"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5938">
        <v>6444380</v>
      </c>
      <c r="D5938">
        <v>36200</v>
      </c>
    </row>
    <row r="5939" spans="1:4" x14ac:dyDescent="0.25">
      <c r="A5939" t="str">
        <f>T("   853630")</f>
        <v xml:space="preserve">   853630</v>
      </c>
      <c r="B5939"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5939">
        <v>988899</v>
      </c>
      <c r="D5939">
        <v>1218</v>
      </c>
    </row>
    <row r="5940" spans="1:4" x14ac:dyDescent="0.25">
      <c r="A5940" t="str">
        <f>T("   870120")</f>
        <v xml:space="preserve">   870120</v>
      </c>
      <c r="B5940" t="str">
        <f>T("   Tracteurs routiers pour semi-remorques")</f>
        <v xml:space="preserve">   Tracteurs routiers pour semi-remorques</v>
      </c>
      <c r="C5940">
        <v>2300000</v>
      </c>
      <c r="D5940">
        <v>4120</v>
      </c>
    </row>
    <row r="5941" spans="1:4" x14ac:dyDescent="0.25">
      <c r="A5941" t="str">
        <f>T("   870322")</f>
        <v xml:space="preserve">   870322</v>
      </c>
      <c r="B5941" t="s">
        <v>472</v>
      </c>
      <c r="C5941">
        <v>15047358</v>
      </c>
      <c r="D5941">
        <v>6260</v>
      </c>
    </row>
    <row r="5942" spans="1:4" x14ac:dyDescent="0.25">
      <c r="A5942" t="str">
        <f>T("   870323")</f>
        <v xml:space="preserve">   870323</v>
      </c>
      <c r="B5942" t="s">
        <v>473</v>
      </c>
      <c r="C5942">
        <v>14672028</v>
      </c>
      <c r="D5942">
        <v>3705</v>
      </c>
    </row>
    <row r="5943" spans="1:4" x14ac:dyDescent="0.25">
      <c r="A5943" t="str">
        <f>T("   870333")</f>
        <v xml:space="preserve">   870333</v>
      </c>
      <c r="B5943" t="s">
        <v>477</v>
      </c>
      <c r="C5943">
        <v>1200000</v>
      </c>
      <c r="D5943">
        <v>1200</v>
      </c>
    </row>
    <row r="5944" spans="1:4" x14ac:dyDescent="0.25">
      <c r="A5944" t="str">
        <f>T("   870421")</f>
        <v xml:space="preserve">   870421</v>
      </c>
      <c r="B5944" t="s">
        <v>478</v>
      </c>
      <c r="C5944">
        <v>8697724</v>
      </c>
      <c r="D5944">
        <v>2060</v>
      </c>
    </row>
    <row r="5945" spans="1:4" x14ac:dyDescent="0.25">
      <c r="A5945" t="str">
        <f>T("   870422")</f>
        <v xml:space="preserve">   870422</v>
      </c>
      <c r="B5945" t="s">
        <v>479</v>
      </c>
      <c r="C5945">
        <v>16442992</v>
      </c>
      <c r="D5945">
        <v>6500</v>
      </c>
    </row>
    <row r="5946" spans="1:4" x14ac:dyDescent="0.25">
      <c r="A5946" t="str">
        <f>T("   871120")</f>
        <v xml:space="preserve">   871120</v>
      </c>
      <c r="B5946" t="str">
        <f>T("   Motocycles à moteur à piston alternatif, cylindrée &gt; 50 cm³ mais &lt;= 250 cm³")</f>
        <v xml:space="preserve">   Motocycles à moteur à piston alternatif, cylindrée &gt; 50 cm³ mais &lt;= 250 cm³</v>
      </c>
      <c r="C5946">
        <v>23040595</v>
      </c>
      <c r="D5946">
        <v>14042</v>
      </c>
    </row>
    <row r="5947" spans="1:4" x14ac:dyDescent="0.25">
      <c r="A5947" t="str">
        <f>T("   871690")</f>
        <v xml:space="preserve">   871690</v>
      </c>
      <c r="B5947" t="str">
        <f>T("   PARTIES DE REMORQUES, SEMI-REMORQUES ET AUTRES VÉHICULES NON-AUTOMOBILES, N.D.A.")</f>
        <v xml:space="preserve">   PARTIES DE REMORQUES, SEMI-REMORQUES ET AUTRES VÉHICULES NON-AUTOMOBILES, N.D.A.</v>
      </c>
      <c r="C5947">
        <v>4184845</v>
      </c>
      <c r="D5947">
        <v>25000</v>
      </c>
    </row>
    <row r="5948" spans="1:4" x14ac:dyDescent="0.25">
      <c r="A5948" t="str">
        <f>T("   901890")</f>
        <v xml:space="preserve">   901890</v>
      </c>
      <c r="B5948" t="str">
        <f>T("   Instruments et appareils pour la médecine, la chirurgie ou l'art vétérinaire, n.d.a.")</f>
        <v xml:space="preserve">   Instruments et appareils pour la médecine, la chirurgie ou l'art vétérinaire, n.d.a.</v>
      </c>
      <c r="C5948">
        <v>17548898</v>
      </c>
      <c r="D5948">
        <v>2803</v>
      </c>
    </row>
    <row r="5949" spans="1:4" x14ac:dyDescent="0.25">
      <c r="A5949" t="str">
        <f>T("   903180")</f>
        <v xml:space="preserve">   903180</v>
      </c>
      <c r="B5949" t="str">
        <f>T("   INSTRUMENTS, APPAREILS ET MACHINES DE MESURE OU DE CONTRÔLE, NON-OPTIQUES, N.D.A. DANS LE PRÉSENT CHAPITRE")</f>
        <v xml:space="preserve">   INSTRUMENTS, APPAREILS ET MACHINES DE MESURE OU DE CONTRÔLE, NON-OPTIQUES, N.D.A. DANS LE PRÉSENT CHAPITRE</v>
      </c>
      <c r="C5949">
        <v>320810</v>
      </c>
      <c r="D5949">
        <v>1138</v>
      </c>
    </row>
    <row r="5950" spans="1:4" x14ac:dyDescent="0.25">
      <c r="A5950" t="str">
        <f>T("   903289")</f>
        <v xml:space="preserve">   903289</v>
      </c>
      <c r="B5950" t="s">
        <v>501</v>
      </c>
      <c r="C5950">
        <v>1676766</v>
      </c>
      <c r="D5950">
        <v>4346</v>
      </c>
    </row>
    <row r="5951" spans="1:4" x14ac:dyDescent="0.25">
      <c r="A5951" t="str">
        <f>T("   940180")</f>
        <v xml:space="preserve">   940180</v>
      </c>
      <c r="B5951" t="str">
        <f>T("   Sièges, n.d.a.")</f>
        <v xml:space="preserve">   Sièges, n.d.a.</v>
      </c>
      <c r="C5951">
        <v>241493</v>
      </c>
      <c r="D5951">
        <v>1523</v>
      </c>
    </row>
    <row r="5952" spans="1:4" x14ac:dyDescent="0.25">
      <c r="A5952" t="str">
        <f>T("   940330")</f>
        <v xml:space="preserve">   940330</v>
      </c>
      <c r="B5952" t="str">
        <f>T("   Meubles de bureau en bois (sauf sièges)")</f>
        <v xml:space="preserve">   Meubles de bureau en bois (sauf sièges)</v>
      </c>
      <c r="C5952">
        <v>1500000</v>
      </c>
      <c r="D5952">
        <v>1745</v>
      </c>
    </row>
    <row r="5953" spans="1:4" x14ac:dyDescent="0.25">
      <c r="A5953" t="str">
        <f>T("   940350")</f>
        <v xml:space="preserve">   940350</v>
      </c>
      <c r="B5953" t="str">
        <f>T("   Meubles pour chambres à coucher, en bois (sauf sièges)")</f>
        <v xml:space="preserve">   Meubles pour chambres à coucher, en bois (sauf sièges)</v>
      </c>
      <c r="C5953">
        <v>2000000</v>
      </c>
      <c r="D5953">
        <v>5020</v>
      </c>
    </row>
    <row r="5954" spans="1:4" x14ac:dyDescent="0.25">
      <c r="A5954" t="str">
        <f>T("   940360")</f>
        <v xml:space="preserve">   940360</v>
      </c>
      <c r="B5954" t="str">
        <f>T("   Meubles en bois (autres que pour bureaux, cuisines ou chambres à coucher et autres que sièges)")</f>
        <v xml:space="preserve">   Meubles en bois (autres que pour bureaux, cuisines ou chambres à coucher et autres que sièges)</v>
      </c>
      <c r="C5954">
        <v>5627366</v>
      </c>
      <c r="D5954">
        <v>13280</v>
      </c>
    </row>
    <row r="5955" spans="1:4" x14ac:dyDescent="0.25">
      <c r="A5955" t="str">
        <f>T("   940370")</f>
        <v xml:space="preserve">   940370</v>
      </c>
      <c r="B5955"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5955">
        <v>244605</v>
      </c>
      <c r="D5955">
        <v>200</v>
      </c>
    </row>
    <row r="5956" spans="1:4" x14ac:dyDescent="0.25">
      <c r="A5956" t="str">
        <f>T("   940380")</f>
        <v xml:space="preserve">   940380</v>
      </c>
      <c r="B5956" t="str">
        <f>T("   Meubles en rotin, osier, bambou ou autres matières (sauf métal, bois et matières plastiques)")</f>
        <v xml:space="preserve">   Meubles en rotin, osier, bambou ou autres matières (sauf métal, bois et matières plastiques)</v>
      </c>
      <c r="C5956">
        <v>3279800</v>
      </c>
      <c r="D5956">
        <v>3000</v>
      </c>
    </row>
    <row r="5957" spans="1:4" x14ac:dyDescent="0.25">
      <c r="A5957" t="str">
        <f>T("   940410")</f>
        <v xml:space="preserve">   940410</v>
      </c>
      <c r="B5957" t="str">
        <f>T("   Sommiers (sauf ressorts pour sièges)")</f>
        <v xml:space="preserve">   Sommiers (sauf ressorts pour sièges)</v>
      </c>
      <c r="C5957">
        <v>44000</v>
      </c>
      <c r="D5957">
        <v>40</v>
      </c>
    </row>
    <row r="5958" spans="1:4" x14ac:dyDescent="0.25">
      <c r="A5958" t="str">
        <f>T("   940421")</f>
        <v xml:space="preserve">   940421</v>
      </c>
      <c r="B5958" t="str">
        <f>T("   Matelas en caoutchouc alvéolaire ou en matières plastiques alvéolaires")</f>
        <v xml:space="preserve">   Matelas en caoutchouc alvéolaire ou en matières plastiques alvéolaires</v>
      </c>
      <c r="C5958">
        <v>2740340</v>
      </c>
      <c r="D5958">
        <v>6700</v>
      </c>
    </row>
    <row r="5959" spans="1:4" x14ac:dyDescent="0.25">
      <c r="A5959" t="str">
        <f>T("   940490")</f>
        <v xml:space="preserve">   940490</v>
      </c>
      <c r="B5959" t="s">
        <v>505</v>
      </c>
      <c r="C5959">
        <v>1000000</v>
      </c>
      <c r="D5959">
        <v>4320</v>
      </c>
    </row>
    <row r="5960" spans="1:4" x14ac:dyDescent="0.25">
      <c r="A5960" t="str">
        <f>T("   950210")</f>
        <v xml:space="preserve">   950210</v>
      </c>
      <c r="B5960" t="str">
        <f>T("   Poupées représentant uniquement l'être humain, habillées ou non")</f>
        <v xml:space="preserve">   Poupées représentant uniquement l'être humain, habillées ou non</v>
      </c>
      <c r="C5960">
        <v>329567</v>
      </c>
      <c r="D5960">
        <v>725</v>
      </c>
    </row>
    <row r="5961" spans="1:4" x14ac:dyDescent="0.25">
      <c r="A5961" t="str">
        <f>T("   950390")</f>
        <v xml:space="preserve">   950390</v>
      </c>
      <c r="B5961" t="str">
        <f>T("   Jouets, n.d.a.")</f>
        <v xml:space="preserve">   Jouets, n.d.a.</v>
      </c>
      <c r="C5961">
        <v>3000000</v>
      </c>
      <c r="D5961">
        <v>6980</v>
      </c>
    </row>
    <row r="5962" spans="1:4" x14ac:dyDescent="0.25">
      <c r="A5962" t="str">
        <f>T("   960810")</f>
        <v xml:space="preserve">   960810</v>
      </c>
      <c r="B5962" t="str">
        <f>T("   Stylos et crayons à bille")</f>
        <v xml:space="preserve">   Stylos et crayons à bille</v>
      </c>
      <c r="C5962">
        <v>139649</v>
      </c>
      <c r="D5962">
        <v>247</v>
      </c>
    </row>
    <row r="5963" spans="1:4" x14ac:dyDescent="0.25">
      <c r="A5963" t="str">
        <f>T("   961700")</f>
        <v xml:space="preserve">   961700</v>
      </c>
      <c r="B5963"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5963">
        <v>37850000</v>
      </c>
      <c r="D5963">
        <v>141220</v>
      </c>
    </row>
    <row r="5964" spans="1:4" x14ac:dyDescent="0.25">
      <c r="A5964" t="str">
        <f>T("GI")</f>
        <v>GI</v>
      </c>
      <c r="B5964" t="str">
        <f>T("Gibraltar")</f>
        <v>Gibraltar</v>
      </c>
    </row>
    <row r="5965" spans="1:4" x14ac:dyDescent="0.25">
      <c r="A5965" t="str">
        <f>T("   ZZ_Total_Produit_SH6")</f>
        <v xml:space="preserve">   ZZ_Total_Produit_SH6</v>
      </c>
      <c r="B5965" t="str">
        <f>T("   ZZ_Total_Produit_SH6")</f>
        <v xml:space="preserve">   ZZ_Total_Produit_SH6</v>
      </c>
      <c r="C5965">
        <v>34896439</v>
      </c>
      <c r="D5965">
        <v>4690</v>
      </c>
    </row>
    <row r="5966" spans="1:4" x14ac:dyDescent="0.25">
      <c r="A5966" t="str">
        <f>T("   870323")</f>
        <v xml:space="preserve">   870323</v>
      </c>
      <c r="B5966" t="s">
        <v>473</v>
      </c>
      <c r="C5966">
        <v>34896439</v>
      </c>
      <c r="D5966">
        <v>4690</v>
      </c>
    </row>
    <row r="5967" spans="1:4" x14ac:dyDescent="0.25">
      <c r="A5967" t="str">
        <f>T("GM")</f>
        <v>GM</v>
      </c>
      <c r="B5967" t="str">
        <f>T("Gambie")</f>
        <v>Gambie</v>
      </c>
    </row>
    <row r="5968" spans="1:4" x14ac:dyDescent="0.25">
      <c r="A5968" t="str">
        <f>T("   ZZ_Total_Produit_SH6")</f>
        <v xml:space="preserve">   ZZ_Total_Produit_SH6</v>
      </c>
      <c r="B5968" t="str">
        <f>T("   ZZ_Total_Produit_SH6")</f>
        <v xml:space="preserve">   ZZ_Total_Produit_SH6</v>
      </c>
      <c r="C5968">
        <v>175000</v>
      </c>
      <c r="D5968">
        <v>90</v>
      </c>
    </row>
    <row r="5969" spans="1:4" x14ac:dyDescent="0.25">
      <c r="A5969" t="str">
        <f>T("   381090")</f>
        <v xml:space="preserve">   381090</v>
      </c>
      <c r="B5969" t="s">
        <v>119</v>
      </c>
      <c r="C5969">
        <v>175000</v>
      </c>
      <c r="D5969">
        <v>90</v>
      </c>
    </row>
    <row r="5970" spans="1:4" x14ac:dyDescent="0.25">
      <c r="A5970" t="str">
        <f>T("GN")</f>
        <v>GN</v>
      </c>
      <c r="B5970" t="str">
        <f>T("Guinée")</f>
        <v>Guinée</v>
      </c>
    </row>
    <row r="5971" spans="1:4" x14ac:dyDescent="0.25">
      <c r="A5971" t="str">
        <f>T("   ZZ_Total_Produit_SH6")</f>
        <v xml:space="preserve">   ZZ_Total_Produit_SH6</v>
      </c>
      <c r="B5971" t="str">
        <f>T("   ZZ_Total_Produit_SH6")</f>
        <v xml:space="preserve">   ZZ_Total_Produit_SH6</v>
      </c>
      <c r="C5971">
        <v>111955823</v>
      </c>
      <c r="D5971">
        <v>91403</v>
      </c>
    </row>
    <row r="5972" spans="1:4" x14ac:dyDescent="0.25">
      <c r="A5972" t="str">
        <f>T("   401290")</f>
        <v xml:space="preserve">   401290</v>
      </c>
      <c r="B5972" t="str">
        <f>T("   Bandages pleins ou creux [mi-pleins], bandes de roulement amovibles pour pneumatiques et flaps, en caoutchouc")</f>
        <v xml:space="preserve">   Bandages pleins ou creux [mi-pleins], bandes de roulement amovibles pour pneumatiques et flaps, en caoutchouc</v>
      </c>
      <c r="C5972">
        <v>223027</v>
      </c>
      <c r="D5972">
        <v>2774</v>
      </c>
    </row>
    <row r="5973" spans="1:4" x14ac:dyDescent="0.25">
      <c r="A5973" t="str">
        <f>T("   830910")</f>
        <v xml:space="preserve">   830910</v>
      </c>
      <c r="B5973" t="str">
        <f>T("   Bouchons-couronnes en métaux communs")</f>
        <v xml:space="preserve">   Bouchons-couronnes en métaux communs</v>
      </c>
      <c r="C5973">
        <v>10590459</v>
      </c>
      <c r="D5973">
        <v>3200</v>
      </c>
    </row>
    <row r="5974" spans="1:4" x14ac:dyDescent="0.25">
      <c r="A5974" t="str">
        <f>T("   841430")</f>
        <v xml:space="preserve">   841430</v>
      </c>
      <c r="B5974" t="str">
        <f>T("   Compresseurs des types utilisés pour équipements frigorifiques")</f>
        <v xml:space="preserve">   Compresseurs des types utilisés pour équipements frigorifiques</v>
      </c>
      <c r="C5974">
        <v>459172</v>
      </c>
      <c r="D5974">
        <v>1881</v>
      </c>
    </row>
    <row r="5975" spans="1:4" x14ac:dyDescent="0.25">
      <c r="A5975" t="str">
        <f>T("   842820")</f>
        <v xml:space="preserve">   842820</v>
      </c>
      <c r="B5975" t="str">
        <f>T("   Appareils élévateurs ou transporteurs, pneumatiques")</f>
        <v xml:space="preserve">   Appareils élévateurs ou transporteurs, pneumatiques</v>
      </c>
      <c r="C5975">
        <v>524768</v>
      </c>
      <c r="D5975">
        <v>4431</v>
      </c>
    </row>
    <row r="5976" spans="1:4" x14ac:dyDescent="0.25">
      <c r="A5976" t="str">
        <f>T("   850211")</f>
        <v xml:space="preserve">   850211</v>
      </c>
      <c r="B5976" t="s">
        <v>444</v>
      </c>
      <c r="C5976">
        <v>76812080</v>
      </c>
      <c r="D5976">
        <v>22800</v>
      </c>
    </row>
    <row r="5977" spans="1:4" x14ac:dyDescent="0.25">
      <c r="A5977" t="str">
        <f>T("   850239")</f>
        <v xml:space="preserve">   850239</v>
      </c>
      <c r="B5977" t="str">
        <f>T("   Groupes électrogènes (autres qu'à énergie éolienne et à moteurs à piston)")</f>
        <v xml:space="preserve">   Groupes électrogènes (autres qu'à énergie éolienne et à moteurs à piston)</v>
      </c>
      <c r="C5977">
        <v>1243044</v>
      </c>
      <c r="D5977">
        <v>8013</v>
      </c>
    </row>
    <row r="5978" spans="1:4" x14ac:dyDescent="0.25">
      <c r="A5978" t="str">
        <f>T("   853669")</f>
        <v xml:space="preserve">   853669</v>
      </c>
      <c r="B5978" t="str">
        <f>T("   Fiches et prises de courant, pour une tension &lt;= 1.000 V (sauf douilles pour lampes)")</f>
        <v xml:space="preserve">   Fiches et prises de courant, pour une tension &lt;= 1.000 V (sauf douilles pour lampes)</v>
      </c>
      <c r="C5978">
        <v>1057000</v>
      </c>
      <c r="D5978">
        <v>1220</v>
      </c>
    </row>
    <row r="5979" spans="1:4" x14ac:dyDescent="0.25">
      <c r="A5979" t="str">
        <f>T("   870120")</f>
        <v xml:space="preserve">   870120</v>
      </c>
      <c r="B5979" t="str">
        <f>T("   Tracteurs routiers pour semi-remorques")</f>
        <v xml:space="preserve">   Tracteurs routiers pour semi-remorques</v>
      </c>
      <c r="C5979">
        <v>21046273</v>
      </c>
      <c r="D5979">
        <v>47084</v>
      </c>
    </row>
    <row r="5980" spans="1:4" x14ac:dyDescent="0.25">
      <c r="A5980" t="str">
        <f>T("GQ")</f>
        <v>GQ</v>
      </c>
      <c r="B5980" t="str">
        <f>T("Guinée Equatoriale")</f>
        <v>Guinée Equatoriale</v>
      </c>
    </row>
    <row r="5981" spans="1:4" x14ac:dyDescent="0.25">
      <c r="A5981" t="str">
        <f>T("   ZZ_Total_Produit_SH6")</f>
        <v xml:space="preserve">   ZZ_Total_Produit_SH6</v>
      </c>
      <c r="B5981" t="str">
        <f>T("   ZZ_Total_Produit_SH6")</f>
        <v xml:space="preserve">   ZZ_Total_Produit_SH6</v>
      </c>
      <c r="C5981">
        <v>775223269</v>
      </c>
      <c r="D5981">
        <v>1584972</v>
      </c>
    </row>
    <row r="5982" spans="1:4" x14ac:dyDescent="0.25">
      <c r="A5982" t="str">
        <f>T("   271113")</f>
        <v xml:space="preserve">   271113</v>
      </c>
      <c r="B5982" t="str">
        <f>T("   Butanes, liquéfiés (à l'excl. des butanes d'une pureté &gt;= 95% en n-butane ou en isobutane)")</f>
        <v xml:space="preserve">   Butanes, liquéfiés (à l'excl. des butanes d'une pureté &gt;= 95% en n-butane ou en isobutane)</v>
      </c>
      <c r="C5982">
        <v>775223269</v>
      </c>
      <c r="D5982">
        <v>1584972</v>
      </c>
    </row>
    <row r="5983" spans="1:4" x14ac:dyDescent="0.25">
      <c r="A5983" t="str">
        <f>T("GR")</f>
        <v>GR</v>
      </c>
      <c r="B5983" t="str">
        <f>T("Grèce")</f>
        <v>Grèce</v>
      </c>
    </row>
    <row r="5984" spans="1:4" x14ac:dyDescent="0.25">
      <c r="A5984" t="str">
        <f>T("   ZZ_Total_Produit_SH6")</f>
        <v xml:space="preserve">   ZZ_Total_Produit_SH6</v>
      </c>
      <c r="B5984" t="str">
        <f>T("   ZZ_Total_Produit_SH6")</f>
        <v xml:space="preserve">   ZZ_Total_Produit_SH6</v>
      </c>
      <c r="C5984">
        <v>9892637</v>
      </c>
      <c r="D5984">
        <v>5269</v>
      </c>
    </row>
    <row r="5985" spans="1:4" x14ac:dyDescent="0.25">
      <c r="A5985" t="str">
        <f>T("   840810")</f>
        <v xml:space="preserve">   840810</v>
      </c>
      <c r="B5985" t="s">
        <v>392</v>
      </c>
      <c r="C5985">
        <v>468258</v>
      </c>
      <c r="D5985">
        <v>333</v>
      </c>
    </row>
    <row r="5986" spans="1:4" x14ac:dyDescent="0.25">
      <c r="A5986" t="str">
        <f>T("   840999")</f>
        <v xml:space="preserve">   840999</v>
      </c>
      <c r="B5986"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5986">
        <v>3398276</v>
      </c>
      <c r="D5986">
        <v>2736</v>
      </c>
    </row>
    <row r="5987" spans="1:4" x14ac:dyDescent="0.25">
      <c r="A5987" t="str">
        <f>T("   870322")</f>
        <v xml:space="preserve">   870322</v>
      </c>
      <c r="B5987" t="s">
        <v>472</v>
      </c>
      <c r="C5987">
        <v>4826103</v>
      </c>
      <c r="D5987">
        <v>1000</v>
      </c>
    </row>
    <row r="5988" spans="1:4" x14ac:dyDescent="0.25">
      <c r="A5988" t="str">
        <f>T("   870490")</f>
        <v xml:space="preserve">   870490</v>
      </c>
      <c r="B5988"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5988">
        <v>1200000</v>
      </c>
      <c r="D5988">
        <v>1200</v>
      </c>
    </row>
    <row r="5989" spans="1:4" x14ac:dyDescent="0.25">
      <c r="A5989" t="str">
        <f>T("GW")</f>
        <v>GW</v>
      </c>
      <c r="B5989" t="str">
        <f>T("Guinée-Bissau")</f>
        <v>Guinée-Bissau</v>
      </c>
    </row>
    <row r="5990" spans="1:4" x14ac:dyDescent="0.25">
      <c r="A5990" t="str">
        <f>T("   ZZ_Total_Produit_SH6")</f>
        <v xml:space="preserve">   ZZ_Total_Produit_SH6</v>
      </c>
      <c r="B5990" t="str">
        <f>T("   ZZ_Total_Produit_SH6")</f>
        <v xml:space="preserve">   ZZ_Total_Produit_SH6</v>
      </c>
      <c r="C5990">
        <v>2612326</v>
      </c>
      <c r="D5990">
        <v>1750</v>
      </c>
    </row>
    <row r="5991" spans="1:4" x14ac:dyDescent="0.25">
      <c r="A5991" t="str">
        <f>T("   870323")</f>
        <v xml:space="preserve">   870323</v>
      </c>
      <c r="B5991" t="s">
        <v>473</v>
      </c>
      <c r="C5991">
        <v>2612326</v>
      </c>
      <c r="D5991">
        <v>1750</v>
      </c>
    </row>
    <row r="5992" spans="1:4" x14ac:dyDescent="0.25">
      <c r="A5992" t="str">
        <f>T("GY")</f>
        <v>GY</v>
      </c>
      <c r="B5992" t="str">
        <f>T("Guyane")</f>
        <v>Guyane</v>
      </c>
    </row>
    <row r="5993" spans="1:4" x14ac:dyDescent="0.25">
      <c r="A5993" t="str">
        <f>T("   ZZ_Total_Produit_SH6")</f>
        <v xml:space="preserve">   ZZ_Total_Produit_SH6</v>
      </c>
      <c r="B5993" t="str">
        <f>T("   ZZ_Total_Produit_SH6")</f>
        <v xml:space="preserve">   ZZ_Total_Produit_SH6</v>
      </c>
      <c r="C5993">
        <v>3273240</v>
      </c>
      <c r="D5993">
        <v>9412</v>
      </c>
    </row>
    <row r="5994" spans="1:4" x14ac:dyDescent="0.25">
      <c r="A5994" t="str">
        <f>T("   940490")</f>
        <v xml:space="preserve">   940490</v>
      </c>
      <c r="B5994" t="s">
        <v>505</v>
      </c>
      <c r="C5994">
        <v>3273240</v>
      </c>
      <c r="D5994">
        <v>9412</v>
      </c>
    </row>
    <row r="5995" spans="1:4" x14ac:dyDescent="0.25">
      <c r="A5995" t="str">
        <f>T("HK")</f>
        <v>HK</v>
      </c>
      <c r="B5995" t="str">
        <f>T("Hong-Kong")</f>
        <v>Hong-Kong</v>
      </c>
    </row>
    <row r="5996" spans="1:4" x14ac:dyDescent="0.25">
      <c r="A5996" t="str">
        <f>T("   ZZ_Total_Produit_SH6")</f>
        <v xml:space="preserve">   ZZ_Total_Produit_SH6</v>
      </c>
      <c r="B5996" t="str">
        <f>T("   ZZ_Total_Produit_SH6")</f>
        <v xml:space="preserve">   ZZ_Total_Produit_SH6</v>
      </c>
      <c r="C5996">
        <v>2825512338.914</v>
      </c>
      <c r="D5996">
        <v>6975235.5</v>
      </c>
    </row>
    <row r="5997" spans="1:4" x14ac:dyDescent="0.25">
      <c r="A5997" t="str">
        <f>T("   040210")</f>
        <v xml:space="preserve">   040210</v>
      </c>
      <c r="B5997"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5997">
        <v>38683544</v>
      </c>
      <c r="D5997">
        <v>30849</v>
      </c>
    </row>
    <row r="5998" spans="1:4" x14ac:dyDescent="0.25">
      <c r="A5998" t="str">
        <f>T("   100630")</f>
        <v xml:space="preserve">   100630</v>
      </c>
      <c r="B5998" t="str">
        <f>T("   Riz semi-blanchi ou blanchi, même poli ou glacé")</f>
        <v xml:space="preserve">   Riz semi-blanchi ou blanchi, même poli ou glacé</v>
      </c>
      <c r="C5998">
        <v>210589969.24200001</v>
      </c>
      <c r="D5998">
        <v>803090</v>
      </c>
    </row>
    <row r="5999" spans="1:4" x14ac:dyDescent="0.25">
      <c r="A5999" t="str">
        <f>T("   100640")</f>
        <v xml:space="preserve">   100640</v>
      </c>
      <c r="B5999" t="str">
        <f>T("   Riz en brisures")</f>
        <v xml:space="preserve">   Riz en brisures</v>
      </c>
      <c r="C5999">
        <v>180878942.88999999</v>
      </c>
      <c r="D5999">
        <v>693984</v>
      </c>
    </row>
    <row r="6000" spans="1:4" x14ac:dyDescent="0.25">
      <c r="A6000" t="str">
        <f>T("   150890")</f>
        <v xml:space="preserve">   150890</v>
      </c>
      <c r="B6000" t="str">
        <f>T("   Huile d'arachide et ses fractions, même raffinées, mais non chimiquement modifiées (à l'excl. de l'huile d'arachide brute)")</f>
        <v xml:space="preserve">   Huile d'arachide et ses fractions, même raffinées, mais non chimiquement modifiées (à l'excl. de l'huile d'arachide brute)</v>
      </c>
      <c r="C6000">
        <v>18236852.440000001</v>
      </c>
      <c r="D6000">
        <v>46656</v>
      </c>
    </row>
    <row r="6001" spans="1:4" x14ac:dyDescent="0.25">
      <c r="A6001" t="str">
        <f>T("   151190")</f>
        <v xml:space="preserve">   151190</v>
      </c>
      <c r="B6001" t="str">
        <f>T("   Huile de palme et ses fractions, même raffinées, mais non chimiquement modifiées (à l'excl. de l'huile de palme brute)")</f>
        <v xml:space="preserve">   Huile de palme et ses fractions, même raffinées, mais non chimiquement modifiées (à l'excl. de l'huile de palme brute)</v>
      </c>
      <c r="C6001">
        <v>1281306004.342</v>
      </c>
      <c r="D6001">
        <v>3456328</v>
      </c>
    </row>
    <row r="6002" spans="1:4" x14ac:dyDescent="0.25">
      <c r="A6002" t="str">
        <f>T("   170410")</f>
        <v xml:space="preserve">   170410</v>
      </c>
      <c r="B6002" t="str">
        <f>T("   Gommes à mâcher [chewing-gum], même enrobées de sucre")</f>
        <v xml:space="preserve">   Gommes à mâcher [chewing-gum], même enrobées de sucre</v>
      </c>
      <c r="C6002">
        <v>10081306</v>
      </c>
      <c r="D6002">
        <v>23975</v>
      </c>
    </row>
    <row r="6003" spans="1:4" x14ac:dyDescent="0.25">
      <c r="A6003" t="str">
        <f>T("   180610")</f>
        <v xml:space="preserve">   180610</v>
      </c>
      <c r="B6003" t="str">
        <f>T("   Poudre de cacao, additionnée de sucre ou d'autres édulcorants")</f>
        <v xml:space="preserve">   Poudre de cacao, additionnée de sucre ou d'autres édulcorants</v>
      </c>
      <c r="C6003">
        <v>8547289</v>
      </c>
      <c r="D6003">
        <v>18341</v>
      </c>
    </row>
    <row r="6004" spans="1:4" x14ac:dyDescent="0.25">
      <c r="A6004" t="str">
        <f>T("   190190")</f>
        <v xml:space="preserve">   190190</v>
      </c>
      <c r="B6004" t="s">
        <v>50</v>
      </c>
      <c r="C6004">
        <v>29570143</v>
      </c>
      <c r="D6004">
        <v>53400</v>
      </c>
    </row>
    <row r="6005" spans="1:4" x14ac:dyDescent="0.25">
      <c r="A6005" t="str">
        <f>T("   190230")</f>
        <v xml:space="preserve">   190230</v>
      </c>
      <c r="B6005" t="str">
        <f>T("   Pâtes alimentaires, cuites ou autrement préparées (à l'excl. des pâtes alimentaires farcies)")</f>
        <v xml:space="preserve">   Pâtes alimentaires, cuites ou autrement préparées (à l'excl. des pâtes alimentaires farcies)</v>
      </c>
      <c r="C6005">
        <v>49317696</v>
      </c>
      <c r="D6005">
        <v>169648</v>
      </c>
    </row>
    <row r="6006" spans="1:4" x14ac:dyDescent="0.25">
      <c r="A6006" t="str">
        <f>T("   200290")</f>
        <v xml:space="preserve">   200290</v>
      </c>
      <c r="B6006"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6006">
        <v>91305151</v>
      </c>
      <c r="D6006">
        <v>215914</v>
      </c>
    </row>
    <row r="6007" spans="1:4" x14ac:dyDescent="0.25">
      <c r="A6007" t="str">
        <f>T("   210112")</f>
        <v xml:space="preserve">   210112</v>
      </c>
      <c r="B6007" t="str">
        <f>T("   Préparations à base d'extraits, essences ou concentrés de café ou à base de café")</f>
        <v xml:space="preserve">   Préparations à base d'extraits, essences ou concentrés de café ou à base de café</v>
      </c>
      <c r="C6007">
        <v>3155082</v>
      </c>
      <c r="D6007">
        <v>288</v>
      </c>
    </row>
    <row r="6008" spans="1:4" x14ac:dyDescent="0.25">
      <c r="A6008" t="str">
        <f>T("   210390")</f>
        <v xml:space="preserve">   210390</v>
      </c>
      <c r="B6008"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6008">
        <v>9364103</v>
      </c>
      <c r="D6008">
        <v>19759</v>
      </c>
    </row>
    <row r="6009" spans="1:4" x14ac:dyDescent="0.25">
      <c r="A6009" t="str">
        <f>T("   210410")</f>
        <v xml:space="preserve">   210410</v>
      </c>
      <c r="B6009" t="str">
        <f>T("   Préparations pour soupes, potages ou bouillons; soupes, potages ou bouillons préparés")</f>
        <v xml:space="preserve">   Préparations pour soupes, potages ou bouillons; soupes, potages ou bouillons préparés</v>
      </c>
      <c r="C6009">
        <v>12051818</v>
      </c>
      <c r="D6009">
        <v>24340</v>
      </c>
    </row>
    <row r="6010" spans="1:4" x14ac:dyDescent="0.25">
      <c r="A6010" t="str">
        <f>T("   300490")</f>
        <v xml:space="preserve">   300490</v>
      </c>
      <c r="B6010" t="s">
        <v>79</v>
      </c>
      <c r="C6010">
        <v>930898</v>
      </c>
      <c r="D6010">
        <v>14</v>
      </c>
    </row>
    <row r="6011" spans="1:4" x14ac:dyDescent="0.25">
      <c r="A6011" t="str">
        <f>T("   321590")</f>
        <v xml:space="preserve">   321590</v>
      </c>
      <c r="B6011" t="str">
        <f>T("   Encres à écrire et à dessiner, même concentrées ou sous formes solides")</f>
        <v xml:space="preserve">   Encres à écrire et à dessiner, même concentrées ou sous formes solides</v>
      </c>
      <c r="C6011">
        <v>244469</v>
      </c>
      <c r="D6011">
        <v>100</v>
      </c>
    </row>
    <row r="6012" spans="1:4" x14ac:dyDescent="0.25">
      <c r="A6012" t="str">
        <f>T("   340119")</f>
        <v xml:space="preserve">   340119</v>
      </c>
      <c r="B6012" t="s">
        <v>99</v>
      </c>
      <c r="C6012">
        <v>2842083</v>
      </c>
      <c r="D6012">
        <v>10500</v>
      </c>
    </row>
    <row r="6013" spans="1:4" x14ac:dyDescent="0.25">
      <c r="A6013" t="str">
        <f>T("   350610")</f>
        <v xml:space="preserve">   350610</v>
      </c>
      <c r="B6013"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6013">
        <v>974039</v>
      </c>
      <c r="D6013">
        <v>926</v>
      </c>
    </row>
    <row r="6014" spans="1:4" x14ac:dyDescent="0.25">
      <c r="A6014" t="str">
        <f>T("   360500")</f>
        <v xml:space="preserve">   360500</v>
      </c>
      <c r="B6014" t="str">
        <f>T("   Allumettes (autres que les articles de pyrotechnie du n° 3604)")</f>
        <v xml:space="preserve">   Allumettes (autres que les articles de pyrotechnie du n° 3604)</v>
      </c>
      <c r="C6014">
        <v>10942602</v>
      </c>
      <c r="D6014">
        <v>17680</v>
      </c>
    </row>
    <row r="6015" spans="1:4" x14ac:dyDescent="0.25">
      <c r="A6015" t="str">
        <f>T("   382200")</f>
        <v xml:space="preserve">   382200</v>
      </c>
      <c r="B6015" t="s">
        <v>122</v>
      </c>
      <c r="C6015">
        <v>12520571</v>
      </c>
      <c r="D6015">
        <v>550</v>
      </c>
    </row>
    <row r="6016" spans="1:4" x14ac:dyDescent="0.25">
      <c r="A6016" t="str">
        <f>T("   392690")</f>
        <v xml:space="preserve">   392690</v>
      </c>
      <c r="B6016" t="str">
        <f>T("   Ouvrages en matières plastiques et ouvrages en autres matières du n° 3901 à 3914, n.d.a.")</f>
        <v xml:space="preserve">   Ouvrages en matières plastiques et ouvrages en autres matières du n° 3901 à 3914, n.d.a.</v>
      </c>
      <c r="C6016">
        <v>1390436</v>
      </c>
      <c r="D6016">
        <v>1196</v>
      </c>
    </row>
    <row r="6017" spans="1:4" x14ac:dyDescent="0.25">
      <c r="A6017" t="str">
        <f>T("   401211")</f>
        <v xml:space="preserve">   401211</v>
      </c>
      <c r="B6017"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6017">
        <v>3531000</v>
      </c>
      <c r="D6017">
        <v>8500</v>
      </c>
    </row>
    <row r="6018" spans="1:4" x14ac:dyDescent="0.25">
      <c r="A6018" t="str">
        <f>T("   420292")</f>
        <v xml:space="preserve">   420292</v>
      </c>
      <c r="B6018" t="s">
        <v>159</v>
      </c>
      <c r="C6018">
        <v>85324</v>
      </c>
      <c r="D6018">
        <v>58</v>
      </c>
    </row>
    <row r="6019" spans="1:4" x14ac:dyDescent="0.25">
      <c r="A6019" t="str">
        <f>T("   481810")</f>
        <v xml:space="preserve">   481810</v>
      </c>
      <c r="B6019" t="str">
        <f>T("   Papier hygiénique, en rouleaux d'une largeur &lt;= 36 cm")</f>
        <v xml:space="preserve">   Papier hygiénique, en rouleaux d'une largeur &lt;= 36 cm</v>
      </c>
      <c r="C6019">
        <v>1500366</v>
      </c>
      <c r="D6019">
        <v>4223</v>
      </c>
    </row>
    <row r="6020" spans="1:4" x14ac:dyDescent="0.25">
      <c r="A6020" t="str">
        <f>T("   482010")</f>
        <v xml:space="preserve">   482010</v>
      </c>
      <c r="B6020"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6020">
        <v>34034</v>
      </c>
      <c r="D6020">
        <v>461</v>
      </c>
    </row>
    <row r="6021" spans="1:4" x14ac:dyDescent="0.25">
      <c r="A6021" t="str">
        <f>T("   490199")</f>
        <v xml:space="preserve">   490199</v>
      </c>
      <c r="B602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021">
        <v>226191</v>
      </c>
      <c r="D6021">
        <v>175</v>
      </c>
    </row>
    <row r="6022" spans="1:4" x14ac:dyDescent="0.25">
      <c r="A6022" t="str">
        <f>T("   491110")</f>
        <v xml:space="preserve">   491110</v>
      </c>
      <c r="B6022" t="str">
        <f>T("   Imprimés publicitaires, catalogues commerciaux et simil.")</f>
        <v xml:space="preserve">   Imprimés publicitaires, catalogues commerciaux et simil.</v>
      </c>
      <c r="C6022">
        <v>507632</v>
      </c>
      <c r="D6022">
        <v>5329</v>
      </c>
    </row>
    <row r="6023" spans="1:4" x14ac:dyDescent="0.25">
      <c r="A6023" t="str">
        <f>T("   520852")</f>
        <v xml:space="preserve">   520852</v>
      </c>
      <c r="B6023" t="str">
        <f>T("   Tissus de coton, imprimés, à armure toile, contenant &gt;= 85% en poids de coton, d'un poids &gt; 100 g/m² mais &lt;= 200 g/m²")</f>
        <v xml:space="preserve">   Tissus de coton, imprimés, à armure toile, contenant &gt;= 85% en poids de coton, d'un poids &gt; 100 g/m² mais &lt;= 200 g/m²</v>
      </c>
      <c r="C6023">
        <v>156214523</v>
      </c>
      <c r="D6023">
        <v>162395</v>
      </c>
    </row>
    <row r="6024" spans="1:4" x14ac:dyDescent="0.25">
      <c r="A6024" t="str">
        <f>T("   551291")</f>
        <v xml:space="preserve">   551291</v>
      </c>
      <c r="B6024" t="str">
        <f>T("   Tissus, écrus ou blanchis, de fibres synthétiques discontinues, contenant &gt;= 85% en poids de ces fibres (à l'excl. des tissus de fibres discontinues acryliques ou modacryliques ou de fibres discontinues de polyester)")</f>
        <v xml:space="preserve">   Tissus, écrus ou blanchis, de fibres synthétiques discontinues, contenant &gt;= 85% en poids de ces fibres (à l'excl. des tissus de fibres discontinues acryliques ou modacryliques ou de fibres discontinues de polyester)</v>
      </c>
      <c r="C6024">
        <v>13000000</v>
      </c>
      <c r="D6024">
        <v>19576</v>
      </c>
    </row>
    <row r="6025" spans="1:4" x14ac:dyDescent="0.25">
      <c r="A6025" t="str">
        <f>T("   610349")</f>
        <v xml:space="preserve">   610349</v>
      </c>
      <c r="B6025"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6025">
        <v>149995329</v>
      </c>
      <c r="D6025">
        <v>310000</v>
      </c>
    </row>
    <row r="6026" spans="1:4" x14ac:dyDescent="0.25">
      <c r="A6026" t="str">
        <f>T("   610821")</f>
        <v xml:space="preserve">   610821</v>
      </c>
      <c r="B6026" t="str">
        <f>T("   Slips et culottes, en bonneterie, de coton, pour femmes ou fillettes")</f>
        <v xml:space="preserve">   Slips et culottes, en bonneterie, de coton, pour femmes ou fillettes</v>
      </c>
      <c r="C6026">
        <v>1314263</v>
      </c>
      <c r="D6026">
        <v>2000</v>
      </c>
    </row>
    <row r="6027" spans="1:4" x14ac:dyDescent="0.25">
      <c r="A6027" t="str">
        <f>T("   610899")</f>
        <v xml:space="preserve">   610899</v>
      </c>
      <c r="B6027" t="s">
        <v>255</v>
      </c>
      <c r="C6027">
        <v>80000</v>
      </c>
      <c r="D6027">
        <v>90</v>
      </c>
    </row>
    <row r="6028" spans="1:4" x14ac:dyDescent="0.25">
      <c r="A6028" t="str">
        <f>T("   610990")</f>
        <v xml:space="preserve">   610990</v>
      </c>
      <c r="B6028" t="str">
        <f>T("   T-shirts et maillots de corps, en bonneterie, de matières textiles (sauf de coton)")</f>
        <v xml:space="preserve">   T-shirts et maillots de corps, en bonneterie, de matières textiles (sauf de coton)</v>
      </c>
      <c r="C6028">
        <v>3566952</v>
      </c>
      <c r="D6028">
        <v>4800</v>
      </c>
    </row>
    <row r="6029" spans="1:4" x14ac:dyDescent="0.25">
      <c r="A6029" t="str">
        <f>T("   611490")</f>
        <v xml:space="preserve">   611490</v>
      </c>
      <c r="B6029"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6029">
        <v>7258835</v>
      </c>
      <c r="D6029">
        <v>16800</v>
      </c>
    </row>
    <row r="6030" spans="1:4" x14ac:dyDescent="0.25">
      <c r="A6030" t="str">
        <f>T("   620342")</f>
        <v xml:space="preserve">   620342</v>
      </c>
      <c r="B6030"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6030">
        <v>159803274</v>
      </c>
      <c r="D6030">
        <v>310000</v>
      </c>
    </row>
    <row r="6031" spans="1:4" x14ac:dyDescent="0.25">
      <c r="A6031" t="str">
        <f>T("   620349")</f>
        <v xml:space="preserve">   620349</v>
      </c>
      <c r="B6031" t="s">
        <v>261</v>
      </c>
      <c r="C6031">
        <v>108885312</v>
      </c>
      <c r="D6031">
        <v>239520</v>
      </c>
    </row>
    <row r="6032" spans="1:4" x14ac:dyDescent="0.25">
      <c r="A6032" t="str">
        <f>T("   620590")</f>
        <v xml:space="preserve">   620590</v>
      </c>
      <c r="B603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032">
        <v>10000000</v>
      </c>
      <c r="D6032">
        <v>12000</v>
      </c>
    </row>
    <row r="6033" spans="1:4" x14ac:dyDescent="0.25">
      <c r="A6033" t="str">
        <f>T("   621010")</f>
        <v xml:space="preserve">   621010</v>
      </c>
      <c r="B6033" t="str">
        <f>T("   Vêtements en feutres ou non-tissés, même imprégnés, enduits, recouverts ou stratifiés (sauf vêtements pour bébés et sauf accessoires du vêtement)")</f>
        <v xml:space="preserve">   Vêtements en feutres ou non-tissés, même imprégnés, enduits, recouverts ou stratifiés (sauf vêtements pour bébés et sauf accessoires du vêtement)</v>
      </c>
      <c r="C6033">
        <v>174004</v>
      </c>
      <c r="D6033">
        <v>166</v>
      </c>
    </row>
    <row r="6034" spans="1:4" x14ac:dyDescent="0.25">
      <c r="A6034" t="str">
        <f>T("   621040")</f>
        <v xml:space="preserve">   621040</v>
      </c>
      <c r="B6034" t="s">
        <v>265</v>
      </c>
      <c r="C6034">
        <v>29032981</v>
      </c>
      <c r="D6034">
        <v>59060</v>
      </c>
    </row>
    <row r="6035" spans="1:4" x14ac:dyDescent="0.25">
      <c r="A6035" t="str">
        <f>T("   630790")</f>
        <v xml:space="preserve">   630790</v>
      </c>
      <c r="B6035" t="str">
        <f>T("   Articles de matières textiles, confectionnés, y.c. les patrons de vêtements n.d.a.")</f>
        <v xml:space="preserve">   Articles de matières textiles, confectionnés, y.c. les patrons de vêtements n.d.a.</v>
      </c>
      <c r="C6035">
        <v>74299</v>
      </c>
      <c r="D6035">
        <v>29</v>
      </c>
    </row>
    <row r="6036" spans="1:4" x14ac:dyDescent="0.25">
      <c r="A6036" t="str">
        <f>T("   630900")</f>
        <v xml:space="preserve">   630900</v>
      </c>
      <c r="B6036" t="s">
        <v>273</v>
      </c>
      <c r="C6036">
        <v>3685243</v>
      </c>
      <c r="D6036">
        <v>7000</v>
      </c>
    </row>
    <row r="6037" spans="1:4" x14ac:dyDescent="0.25">
      <c r="A6037" t="str">
        <f>T("   640299")</f>
        <v xml:space="preserve">   640299</v>
      </c>
      <c r="B6037" t="s">
        <v>278</v>
      </c>
      <c r="C6037">
        <v>12257938</v>
      </c>
      <c r="D6037">
        <v>13400</v>
      </c>
    </row>
    <row r="6038" spans="1:4" x14ac:dyDescent="0.25">
      <c r="A6038" t="str">
        <f>T("   640359")</f>
        <v xml:space="preserve">   640359</v>
      </c>
      <c r="B6038" t="s">
        <v>280</v>
      </c>
      <c r="C6038">
        <v>217000</v>
      </c>
      <c r="D6038">
        <v>9</v>
      </c>
    </row>
    <row r="6039" spans="1:4" x14ac:dyDescent="0.25">
      <c r="A6039" t="str">
        <f>T("   670210")</f>
        <v xml:space="preserve">   670210</v>
      </c>
      <c r="B6039" t="str">
        <f>T("   Fleurs, feuillages et fruits artificiels, y.c. leurs parties; articles confectionnés en fleurs, feuillages ou fruits artificiels fabriqués par ligature, collage, emboîtage ou procédés simil., en matières plastiques")</f>
        <v xml:space="preserve">   Fleurs, feuillages et fruits artificiels, y.c. leurs parties; articles confectionnés en fleurs, feuillages ou fruits artificiels fabriqués par ligature, collage, emboîtage ou procédés simil., en matières plastiques</v>
      </c>
      <c r="C6039">
        <v>1266663</v>
      </c>
      <c r="D6039">
        <v>984</v>
      </c>
    </row>
    <row r="6040" spans="1:4" x14ac:dyDescent="0.25">
      <c r="A6040" t="str">
        <f>T("   690790")</f>
        <v xml:space="preserve">   690790</v>
      </c>
      <c r="B6040" t="s">
        <v>306</v>
      </c>
      <c r="C6040">
        <v>2840307</v>
      </c>
      <c r="D6040">
        <v>14000</v>
      </c>
    </row>
    <row r="6041" spans="1:4" x14ac:dyDescent="0.25">
      <c r="A6041" t="str">
        <f>T("   700991")</f>
        <v xml:space="preserve">   700991</v>
      </c>
      <c r="B6041"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6041">
        <v>137224</v>
      </c>
      <c r="D6041">
        <v>107</v>
      </c>
    </row>
    <row r="6042" spans="1:4" x14ac:dyDescent="0.25">
      <c r="A6042" t="str">
        <f>T("   711790")</f>
        <v xml:space="preserve">   711790</v>
      </c>
      <c r="B6042" t="str">
        <f>T("   Bijouterie de fantaisie (autre qu'en métaux communs, même argentés, dorés ou platinés)")</f>
        <v xml:space="preserve">   Bijouterie de fantaisie (autre qu'en métaux communs, même argentés, dorés ou platinés)</v>
      </c>
      <c r="C6042">
        <v>1691402</v>
      </c>
      <c r="D6042">
        <v>640</v>
      </c>
    </row>
    <row r="6043" spans="1:4" x14ac:dyDescent="0.25">
      <c r="A6043" t="str">
        <f>T("   731811")</f>
        <v xml:space="preserve">   731811</v>
      </c>
      <c r="B6043" t="str">
        <f>T("   Tire-fond en fonte, fer ou acier")</f>
        <v xml:space="preserve">   Tire-fond en fonte, fer ou acier</v>
      </c>
      <c r="C6043">
        <v>702909</v>
      </c>
      <c r="D6043">
        <v>5489</v>
      </c>
    </row>
    <row r="6044" spans="1:4" x14ac:dyDescent="0.25">
      <c r="A6044" t="str">
        <f>T("   760421")</f>
        <v xml:space="preserve">   760421</v>
      </c>
      <c r="B6044" t="str">
        <f>T("   Profilés creux en alliages d'aluminium, n.d.a.")</f>
        <v xml:space="preserve">   Profilés creux en alliages d'aluminium, n.d.a.</v>
      </c>
      <c r="C6044">
        <v>6279964</v>
      </c>
      <c r="D6044">
        <v>5973</v>
      </c>
    </row>
    <row r="6045" spans="1:4" x14ac:dyDescent="0.25">
      <c r="A6045" t="str">
        <f>T("   760429")</f>
        <v xml:space="preserve">   760429</v>
      </c>
      <c r="B6045" t="str">
        <f>T("   Barres et profilés pleins en alliages d'aluminium, n.d.a.")</f>
        <v xml:space="preserve">   Barres et profilés pleins en alliages d'aluminium, n.d.a.</v>
      </c>
      <c r="C6045">
        <v>3480000</v>
      </c>
      <c r="D6045">
        <v>3431</v>
      </c>
    </row>
    <row r="6046" spans="1:4" x14ac:dyDescent="0.25">
      <c r="A6046" t="str">
        <f>T("   761519")</f>
        <v xml:space="preserve">   761519</v>
      </c>
      <c r="B6046" t="s">
        <v>373</v>
      </c>
      <c r="C6046">
        <v>24926</v>
      </c>
      <c r="D6046">
        <v>14</v>
      </c>
    </row>
    <row r="6047" spans="1:4" x14ac:dyDescent="0.25">
      <c r="A6047" t="str">
        <f>T("   840219")</f>
        <v xml:space="preserve">   840219</v>
      </c>
      <c r="B6047" t="str">
        <f>T("   Chaudières à vapeur, y.c. les chaudières mixtes (autres que les chaudières aquatubulaires et les chaudières pour le chauffage central conçues pour produire à la fois de l'eau chaude et de la vapeur à basse pression)")</f>
        <v xml:space="preserve">   Chaudières à vapeur, y.c. les chaudières mixtes (autres que les chaudières aquatubulaires et les chaudières pour le chauffage central conçues pour produire à la fois de l'eau chaude et de la vapeur à basse pression)</v>
      </c>
      <c r="C6047">
        <v>9441278</v>
      </c>
      <c r="D6047">
        <v>18000</v>
      </c>
    </row>
    <row r="6048" spans="1:4" x14ac:dyDescent="0.25">
      <c r="A6048" t="str">
        <f>T("   841381")</f>
        <v xml:space="preserve">   841381</v>
      </c>
      <c r="B6048" t="s">
        <v>398</v>
      </c>
      <c r="C6048">
        <v>89638</v>
      </c>
      <c r="D6048">
        <v>85</v>
      </c>
    </row>
    <row r="6049" spans="1:4" x14ac:dyDescent="0.25">
      <c r="A6049" t="str">
        <f>T("   841451")</f>
        <v xml:space="preserve">   841451</v>
      </c>
      <c r="B6049"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6049">
        <v>5516839</v>
      </c>
      <c r="D6049">
        <v>9395</v>
      </c>
    </row>
    <row r="6050" spans="1:4" x14ac:dyDescent="0.25">
      <c r="A6050" t="str">
        <f>T("   841932")</f>
        <v xml:space="preserve">   841932</v>
      </c>
      <c r="B6050" t="str">
        <f>T("   Séchoirs pour le bois, les pâtes à papier, papiers ou cartons")</f>
        <v xml:space="preserve">   Séchoirs pour le bois, les pâtes à papier, papiers ou cartons</v>
      </c>
      <c r="C6050">
        <v>8696368</v>
      </c>
      <c r="D6050">
        <v>29000</v>
      </c>
    </row>
    <row r="6051" spans="1:4" x14ac:dyDescent="0.25">
      <c r="A6051" t="str">
        <f>T("   841939")</f>
        <v xml:space="preserve">   841939</v>
      </c>
      <c r="B6051" t="str">
        <f>T("   Séchoirs (sauf pour produits agricoles, pâtes à papier, papier ou carton, pour fils, tissus ou autres matières textiles, pour bouteilles ou autres récipients, sèche-cheveux, sèche-mains et sauf appareils ménagers)")</f>
        <v xml:space="preserve">   Séchoirs (sauf pour produits agricoles, pâtes à papier, papier ou carton, pour fils, tissus ou autres matières textiles, pour bouteilles ou autres récipients, sèche-cheveux, sèche-mains et sauf appareils ménagers)</v>
      </c>
      <c r="C6051">
        <v>9806542</v>
      </c>
      <c r="D6051">
        <v>27600</v>
      </c>
    </row>
    <row r="6052" spans="1:4" x14ac:dyDescent="0.25">
      <c r="A6052" t="str">
        <f>T("   842382")</f>
        <v xml:space="preserve">   842382</v>
      </c>
      <c r="B6052" t="str">
        <f>T("   Appareils et instruments de pesage, portée &gt; 30 kg mais &lt;= 5000 kg (à l'excl. des pèse-personnes, bascules à pesage continu sur transporteurs, bascules à pesées constantes et balances et bascules ensacheuses ou doseuses)")</f>
        <v xml:space="preserve">   Appareils et instruments de pesage, portée &gt; 30 kg mais &lt;= 5000 kg (à l'excl. des pèse-personnes, bascules à pesage continu sur transporteurs, bascules à pesées constantes et balances et bascules ensacheuses ou doseuses)</v>
      </c>
      <c r="C6052">
        <v>4246830</v>
      </c>
      <c r="D6052">
        <v>290</v>
      </c>
    </row>
    <row r="6053" spans="1:4" x14ac:dyDescent="0.25">
      <c r="A6053" t="str">
        <f>T("   847330")</f>
        <v xml:space="preserve">   847330</v>
      </c>
      <c r="B6053" t="str">
        <f>T("   Parties et accessoires pour machines automatiques de traitement de l'information ou pour autres machines du n° 8471, n.d.a.")</f>
        <v xml:space="preserve">   Parties et accessoires pour machines automatiques de traitement de l'information ou pour autres machines du n° 8471, n.d.a.</v>
      </c>
      <c r="C6053">
        <v>7430404</v>
      </c>
      <c r="D6053">
        <v>4046</v>
      </c>
    </row>
    <row r="6054" spans="1:4" x14ac:dyDescent="0.25">
      <c r="A6054" t="str">
        <f>T("   850650")</f>
        <v xml:space="preserve">   850650</v>
      </c>
      <c r="B6054" t="str">
        <f>T("   Piles et batteries de piles électriques, au lithium (sauf hors d'usage)")</f>
        <v xml:space="preserve">   Piles et batteries de piles électriques, au lithium (sauf hors d'usage)</v>
      </c>
      <c r="C6054">
        <v>305206</v>
      </c>
      <c r="D6054">
        <v>10</v>
      </c>
    </row>
    <row r="6055" spans="1:4" x14ac:dyDescent="0.25">
      <c r="A6055" t="str">
        <f>T("   850710")</f>
        <v xml:space="preserve">   850710</v>
      </c>
      <c r="B6055" t="str">
        <f>T("   Accumulateurs au plomb, pour le démarrage des moteurs à piston (sauf hors d'usage)")</f>
        <v xml:space="preserve">   Accumulateurs au plomb, pour le démarrage des moteurs à piston (sauf hors d'usage)</v>
      </c>
      <c r="C6055">
        <v>4792444</v>
      </c>
      <c r="D6055">
        <v>52614</v>
      </c>
    </row>
    <row r="6056" spans="1:4" x14ac:dyDescent="0.25">
      <c r="A6056" t="str">
        <f>T("   851750")</f>
        <v xml:space="preserve">   851750</v>
      </c>
      <c r="B6056" t="s">
        <v>452</v>
      </c>
      <c r="C6056">
        <v>185029</v>
      </c>
      <c r="D6056">
        <v>100</v>
      </c>
    </row>
    <row r="6057" spans="1:4" x14ac:dyDescent="0.25">
      <c r="A6057" t="str">
        <f>T("   851780")</f>
        <v xml:space="preserve">   851780</v>
      </c>
      <c r="B6057" t="s">
        <v>453</v>
      </c>
      <c r="C6057">
        <v>87048519</v>
      </c>
      <c r="D6057">
        <v>1820</v>
      </c>
    </row>
    <row r="6058" spans="1:4" x14ac:dyDescent="0.25">
      <c r="A6058" t="str">
        <f>T("   851829")</f>
        <v xml:space="preserve">   851829</v>
      </c>
      <c r="B6058" t="str">
        <f>T("   Haut-parleurs sans enceinte")</f>
        <v xml:space="preserve">   Haut-parleurs sans enceinte</v>
      </c>
      <c r="C6058">
        <v>2196737</v>
      </c>
      <c r="D6058">
        <v>4726</v>
      </c>
    </row>
    <row r="6059" spans="1:4" x14ac:dyDescent="0.25">
      <c r="A6059" t="str">
        <f>T("   852190")</f>
        <v xml:space="preserve">   852190</v>
      </c>
      <c r="B6059" t="s">
        <v>457</v>
      </c>
      <c r="C6059">
        <v>3263050</v>
      </c>
      <c r="D6059">
        <v>9333</v>
      </c>
    </row>
    <row r="6060" spans="1:4" x14ac:dyDescent="0.25">
      <c r="A6060" t="str">
        <f>T("   852821")</f>
        <v xml:space="preserve">   852821</v>
      </c>
      <c r="B6060" t="str">
        <f>T("   Moniteurs vidéo en couleurs")</f>
        <v xml:space="preserve">   Moniteurs vidéo en couleurs</v>
      </c>
      <c r="C6060">
        <v>210914</v>
      </c>
      <c r="D6060">
        <v>115</v>
      </c>
    </row>
    <row r="6061" spans="1:4" x14ac:dyDescent="0.25">
      <c r="A6061" t="str">
        <f>T("   853931")</f>
        <v xml:space="preserve">   853931</v>
      </c>
      <c r="B6061" t="str">
        <f>T("   Lampes et tubes à décharge, fluorescents, à cathode chaude")</f>
        <v xml:space="preserve">   Lampes et tubes à décharge, fluorescents, à cathode chaude</v>
      </c>
      <c r="C6061">
        <v>4307717</v>
      </c>
      <c r="D6061">
        <v>10838</v>
      </c>
    </row>
    <row r="6062" spans="1:4" x14ac:dyDescent="0.25">
      <c r="A6062" t="str">
        <f>T("   854449")</f>
        <v xml:space="preserve">   854449</v>
      </c>
      <c r="B6062" t="str">
        <f>T("   CONDUCTEURS ÉLECTRIQUES, POUR TENSION &lt;= 1.000 V, ISOLÉS, SANS PIÈCES DE CONNEXION, N.D.A.")</f>
        <v xml:space="preserve">   CONDUCTEURS ÉLECTRIQUES, POUR TENSION &lt;= 1.000 V, ISOLÉS, SANS PIÈCES DE CONNEXION, N.D.A.</v>
      </c>
      <c r="C6062">
        <v>1155904</v>
      </c>
      <c r="D6062">
        <v>1957</v>
      </c>
    </row>
    <row r="6063" spans="1:4" x14ac:dyDescent="0.25">
      <c r="A6063" t="str">
        <f>T("   854520")</f>
        <v xml:space="preserve">   854520</v>
      </c>
      <c r="B6063" t="str">
        <f>T("   Balais en charbon, pour usages électriques")</f>
        <v xml:space="preserve">   Balais en charbon, pour usages électriques</v>
      </c>
      <c r="C6063">
        <v>1180728</v>
      </c>
      <c r="D6063">
        <v>7</v>
      </c>
    </row>
    <row r="6064" spans="1:4" x14ac:dyDescent="0.25">
      <c r="A6064" t="str">
        <f>T("   871419")</f>
        <v xml:space="preserve">   871419</v>
      </c>
      <c r="B6064" t="str">
        <f>T("   Parties et accessoires de motocycles, y.c. de cyclomoteurs, n.d.a.")</f>
        <v xml:space="preserve">   Parties et accessoires de motocycles, y.c. de cyclomoteurs, n.d.a.</v>
      </c>
      <c r="C6064">
        <v>417035</v>
      </c>
      <c r="D6064">
        <v>504</v>
      </c>
    </row>
    <row r="6065" spans="1:4" x14ac:dyDescent="0.25">
      <c r="A6065" t="str">
        <f>T("   901812")</f>
        <v xml:space="preserve">   901812</v>
      </c>
      <c r="B6065" t="str">
        <f>T("   Appareils de diagnostic par balayage ultrasonique [scanners]")</f>
        <v xml:space="preserve">   Appareils de diagnostic par balayage ultrasonique [scanners]</v>
      </c>
      <c r="C6065">
        <v>2928829</v>
      </c>
      <c r="D6065">
        <v>388</v>
      </c>
    </row>
    <row r="6066" spans="1:4" x14ac:dyDescent="0.25">
      <c r="A6066" t="str">
        <f>T("   901890")</f>
        <v xml:space="preserve">   901890</v>
      </c>
      <c r="B6066" t="str">
        <f>T("   Instruments et appareils pour la médecine, la chirurgie ou l'art vétérinaire, n.d.a.")</f>
        <v xml:space="preserve">   Instruments et appareils pour la médecine, la chirurgie ou l'art vétérinaire, n.d.a.</v>
      </c>
      <c r="C6066">
        <v>9618637</v>
      </c>
      <c r="D6066">
        <v>338.5</v>
      </c>
    </row>
    <row r="6067" spans="1:4" x14ac:dyDescent="0.25">
      <c r="A6067" t="str">
        <f>T("   902710")</f>
        <v xml:space="preserve">   902710</v>
      </c>
      <c r="B6067" t="str">
        <f>T("   Analyseurs de gaz ou de fumées")</f>
        <v xml:space="preserve">   Analyseurs de gaz ou de fumées</v>
      </c>
      <c r="C6067">
        <v>1140854</v>
      </c>
      <c r="D6067">
        <v>158</v>
      </c>
    </row>
    <row r="6068" spans="1:4" x14ac:dyDescent="0.25">
      <c r="A6068" t="str">
        <f>T("   902780")</f>
        <v xml:space="preserve">   902780</v>
      </c>
      <c r="B6068"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6068">
        <v>258849</v>
      </c>
      <c r="D6068">
        <v>76</v>
      </c>
    </row>
    <row r="6069" spans="1:4" x14ac:dyDescent="0.25">
      <c r="A6069" t="str">
        <f>T("   940330")</f>
        <v xml:space="preserve">   940330</v>
      </c>
      <c r="B6069" t="str">
        <f>T("   Meubles de bureau en bois (sauf sièges)")</f>
        <v xml:space="preserve">   Meubles de bureau en bois (sauf sièges)</v>
      </c>
      <c r="C6069">
        <v>5210055</v>
      </c>
      <c r="D6069">
        <v>4956</v>
      </c>
    </row>
    <row r="6070" spans="1:4" x14ac:dyDescent="0.25">
      <c r="A6070" t="str">
        <f>T("   940350")</f>
        <v xml:space="preserve">   940350</v>
      </c>
      <c r="B6070" t="str">
        <f>T("   Meubles pour chambres à coucher, en bois (sauf sièges)")</f>
        <v xml:space="preserve">   Meubles pour chambres à coucher, en bois (sauf sièges)</v>
      </c>
      <c r="C6070">
        <v>148910</v>
      </c>
      <c r="D6070">
        <v>116</v>
      </c>
    </row>
    <row r="6071" spans="1:4" x14ac:dyDescent="0.25">
      <c r="A6071" t="str">
        <f>T("   940380")</f>
        <v xml:space="preserve">   940380</v>
      </c>
      <c r="B6071" t="str">
        <f>T("   Meubles en rotin, osier, bambou ou autres matières (sauf métal, bois et matières plastiques)")</f>
        <v xml:space="preserve">   Meubles en rotin, osier, bambou ou autres matières (sauf métal, bois et matières plastiques)</v>
      </c>
      <c r="C6071">
        <v>54167</v>
      </c>
      <c r="D6071">
        <v>14</v>
      </c>
    </row>
    <row r="6072" spans="1:4" x14ac:dyDescent="0.25">
      <c r="A6072" t="str">
        <f>T("   950390")</f>
        <v xml:space="preserve">   950390</v>
      </c>
      <c r="B6072" t="str">
        <f>T("   Jouets, n.d.a.")</f>
        <v xml:space="preserve">   Jouets, n.d.a.</v>
      </c>
      <c r="C6072">
        <v>314152</v>
      </c>
      <c r="D6072">
        <v>244</v>
      </c>
    </row>
    <row r="6073" spans="1:4" x14ac:dyDescent="0.25">
      <c r="A6073" t="str">
        <f>T("   960810")</f>
        <v xml:space="preserve">   960810</v>
      </c>
      <c r="B6073" t="str">
        <f>T("   Stylos et crayons à bille")</f>
        <v xml:space="preserve">   Stylos et crayons à bille</v>
      </c>
      <c r="C6073">
        <v>375810</v>
      </c>
      <c r="D6073">
        <v>58</v>
      </c>
    </row>
    <row r="6074" spans="1:4" x14ac:dyDescent="0.25">
      <c r="A6074" t="str">
        <f>T("   970300")</f>
        <v xml:space="preserve">   970300</v>
      </c>
      <c r="B6074" t="str">
        <f>T("   Productions originales de l'art statuaire ou de la sculpture, en toutes matières")</f>
        <v xml:space="preserve">   Productions originales de l'art statuaire ou de la sculpture, en toutes matières</v>
      </c>
      <c r="C6074">
        <v>4370000</v>
      </c>
      <c r="D6074">
        <v>4680</v>
      </c>
    </row>
    <row r="6075" spans="1:4" x14ac:dyDescent="0.25">
      <c r="A6075" t="str">
        <f>T("HM")</f>
        <v>HM</v>
      </c>
      <c r="B6075" t="str">
        <f>T("Heard et McDonald, îles")</f>
        <v>Heard et McDonald, îles</v>
      </c>
    </row>
    <row r="6076" spans="1:4" x14ac:dyDescent="0.25">
      <c r="A6076" t="str">
        <f>T("   ZZ_Total_Produit_SH6")</f>
        <v xml:space="preserve">   ZZ_Total_Produit_SH6</v>
      </c>
      <c r="B6076" t="str">
        <f>T("   ZZ_Total_Produit_SH6")</f>
        <v xml:space="preserve">   ZZ_Total_Produit_SH6</v>
      </c>
      <c r="C6076">
        <v>8290215.977</v>
      </c>
      <c r="D6076">
        <v>21505</v>
      </c>
    </row>
    <row r="6077" spans="1:4" x14ac:dyDescent="0.25">
      <c r="A6077" t="str">
        <f>T("   151190")</f>
        <v xml:space="preserve">   151190</v>
      </c>
      <c r="B6077" t="str">
        <f>T("   Huile de palme et ses fractions, même raffinées, mais non chimiquement modifiées (à l'excl. de l'huile de palme brute)")</f>
        <v xml:space="preserve">   Huile de palme et ses fractions, même raffinées, mais non chimiquement modifiées (à l'excl. de l'huile de palme brute)</v>
      </c>
      <c r="C6077">
        <v>8290215.977</v>
      </c>
      <c r="D6077">
        <v>21505</v>
      </c>
    </row>
    <row r="6078" spans="1:4" x14ac:dyDescent="0.25">
      <c r="A6078" t="str">
        <f>T("HR")</f>
        <v>HR</v>
      </c>
      <c r="B6078" t="str">
        <f>T("Croatie")</f>
        <v>Croatie</v>
      </c>
    </row>
    <row r="6079" spans="1:4" x14ac:dyDescent="0.25">
      <c r="A6079" t="str">
        <f>T("   ZZ_Total_Produit_SH6")</f>
        <v xml:space="preserve">   ZZ_Total_Produit_SH6</v>
      </c>
      <c r="B6079" t="str">
        <f>T("   ZZ_Total_Produit_SH6")</f>
        <v xml:space="preserve">   ZZ_Total_Produit_SH6</v>
      </c>
      <c r="C6079">
        <v>8072254</v>
      </c>
      <c r="D6079">
        <v>15000</v>
      </c>
    </row>
    <row r="6080" spans="1:4" x14ac:dyDescent="0.25">
      <c r="A6080" t="str">
        <f>T("   420299")</f>
        <v xml:space="preserve">   420299</v>
      </c>
      <c r="B6080" t="s">
        <v>160</v>
      </c>
      <c r="C6080">
        <v>5381504</v>
      </c>
      <c r="D6080">
        <v>10000</v>
      </c>
    </row>
    <row r="6081" spans="1:4" x14ac:dyDescent="0.25">
      <c r="A6081" t="str">
        <f>T("   630900")</f>
        <v xml:space="preserve">   630900</v>
      </c>
      <c r="B6081" t="s">
        <v>273</v>
      </c>
      <c r="C6081">
        <v>2690750</v>
      </c>
      <c r="D6081">
        <v>5000</v>
      </c>
    </row>
    <row r="6082" spans="1:4" x14ac:dyDescent="0.25">
      <c r="A6082" t="str">
        <f>T("HU")</f>
        <v>HU</v>
      </c>
      <c r="B6082" t="str">
        <f>T("Hongrie")</f>
        <v>Hongrie</v>
      </c>
    </row>
    <row r="6083" spans="1:4" x14ac:dyDescent="0.25">
      <c r="A6083" t="str">
        <f>T("   ZZ_Total_Produit_SH6")</f>
        <v xml:space="preserve">   ZZ_Total_Produit_SH6</v>
      </c>
      <c r="B6083" t="str">
        <f>T("   ZZ_Total_Produit_SH6")</f>
        <v xml:space="preserve">   ZZ_Total_Produit_SH6</v>
      </c>
      <c r="C6083">
        <v>102115267</v>
      </c>
      <c r="D6083">
        <v>208974</v>
      </c>
    </row>
    <row r="6084" spans="1:4" x14ac:dyDescent="0.25">
      <c r="A6084" t="str">
        <f>T("   630900")</f>
        <v xml:space="preserve">   630900</v>
      </c>
      <c r="B6084" t="s">
        <v>273</v>
      </c>
      <c r="C6084">
        <v>102115267</v>
      </c>
      <c r="D6084">
        <v>208974</v>
      </c>
    </row>
    <row r="6085" spans="1:4" x14ac:dyDescent="0.25">
      <c r="A6085" t="str">
        <f>T("ID")</f>
        <v>ID</v>
      </c>
      <c r="B6085" t="str">
        <f>T("Indonésie")</f>
        <v>Indonésie</v>
      </c>
    </row>
    <row r="6086" spans="1:4" x14ac:dyDescent="0.25">
      <c r="A6086" t="str">
        <f>T("   ZZ_Total_Produit_SH6")</f>
        <v xml:space="preserve">   ZZ_Total_Produit_SH6</v>
      </c>
      <c r="B6086" t="str">
        <f>T("   ZZ_Total_Produit_SH6")</f>
        <v xml:space="preserve">   ZZ_Total_Produit_SH6</v>
      </c>
      <c r="C6086">
        <v>2475106783.2690001</v>
      </c>
      <c r="D6086">
        <v>6200930.46</v>
      </c>
    </row>
    <row r="6087" spans="1:4" x14ac:dyDescent="0.25">
      <c r="A6087" t="str">
        <f>T("   040210")</f>
        <v xml:space="preserve">   040210</v>
      </c>
      <c r="B6087"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6087">
        <v>33750043</v>
      </c>
      <c r="D6087">
        <v>19857</v>
      </c>
    </row>
    <row r="6088" spans="1:4" x14ac:dyDescent="0.25">
      <c r="A6088" t="str">
        <f>T("   151110")</f>
        <v xml:space="preserve">   151110</v>
      </c>
      <c r="B6088" t="str">
        <f>T("   Huile de palme, brute")</f>
        <v xml:space="preserve">   Huile de palme, brute</v>
      </c>
      <c r="C6088">
        <v>64553814</v>
      </c>
      <c r="D6088">
        <v>99736</v>
      </c>
    </row>
    <row r="6089" spans="1:4" x14ac:dyDescent="0.25">
      <c r="A6089" t="str">
        <f>T("   151190")</f>
        <v xml:space="preserve">   151190</v>
      </c>
      <c r="B6089" t="str">
        <f>T("   Huile de palme et ses fractions, même raffinées, mais non chimiquement modifiées (à l'excl. de l'huile de palme brute)")</f>
        <v xml:space="preserve">   Huile de palme et ses fractions, même raffinées, mais non chimiquement modifiées (à l'excl. de l'huile de palme brute)</v>
      </c>
      <c r="C6089">
        <v>825186983.26900005</v>
      </c>
      <c r="D6089">
        <v>2059765</v>
      </c>
    </row>
    <row r="6090" spans="1:4" x14ac:dyDescent="0.25">
      <c r="A6090" t="str">
        <f>T("   151620")</f>
        <v xml:space="preserve">   151620</v>
      </c>
      <c r="B6090"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6090">
        <v>189200000</v>
      </c>
      <c r="D6090">
        <v>987793</v>
      </c>
    </row>
    <row r="6091" spans="1:4" x14ac:dyDescent="0.25">
      <c r="A6091" t="str">
        <f>T("   151710")</f>
        <v xml:space="preserve">   151710</v>
      </c>
      <c r="B6091" t="str">
        <f>T("   Margarine (à l'excl. de la margarine liquide)")</f>
        <v xml:space="preserve">   Margarine (à l'excl. de la margarine liquide)</v>
      </c>
      <c r="C6091">
        <v>11657792</v>
      </c>
      <c r="D6091">
        <v>41340</v>
      </c>
    </row>
    <row r="6092" spans="1:4" x14ac:dyDescent="0.25">
      <c r="A6092" t="str">
        <f>T("   170490")</f>
        <v xml:space="preserve">   170490</v>
      </c>
      <c r="B6092" t="str">
        <f>T("   Sucreries sans cacao, y.c. le chocolat blanc (à l'excl. des gommes à mâcher)")</f>
        <v xml:space="preserve">   Sucreries sans cacao, y.c. le chocolat blanc (à l'excl. des gommes à mâcher)</v>
      </c>
      <c r="C6092">
        <v>5263583</v>
      </c>
      <c r="D6092">
        <v>33640</v>
      </c>
    </row>
    <row r="6093" spans="1:4" x14ac:dyDescent="0.25">
      <c r="A6093" t="str">
        <f>T("   180690")</f>
        <v xml:space="preserve">   180690</v>
      </c>
      <c r="B6093"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6093">
        <v>14357021</v>
      </c>
      <c r="D6093">
        <v>25344</v>
      </c>
    </row>
    <row r="6094" spans="1:4" x14ac:dyDescent="0.25">
      <c r="A6094" t="str">
        <f>T("   210320")</f>
        <v xml:space="preserve">   210320</v>
      </c>
      <c r="B6094" t="str">
        <f>T("   Tomato ketchup et autres sauces tomates")</f>
        <v xml:space="preserve">   Tomato ketchup et autres sauces tomates</v>
      </c>
      <c r="C6094">
        <v>1315200</v>
      </c>
      <c r="D6094">
        <v>8010</v>
      </c>
    </row>
    <row r="6095" spans="1:4" x14ac:dyDescent="0.25">
      <c r="A6095" t="str">
        <f>T("   210690")</f>
        <v xml:space="preserve">   210690</v>
      </c>
      <c r="B6095" t="str">
        <f>T("   Préparations alimentaires, n.d.a.")</f>
        <v xml:space="preserve">   Préparations alimentaires, n.d.a.</v>
      </c>
      <c r="C6095">
        <v>1289452</v>
      </c>
      <c r="D6095">
        <v>1259</v>
      </c>
    </row>
    <row r="6096" spans="1:4" x14ac:dyDescent="0.25">
      <c r="A6096" t="str">
        <f>T("   220290")</f>
        <v xml:space="preserve">   220290</v>
      </c>
      <c r="B6096" t="str">
        <f>T("   BOISSONS NON-ALCOOLIQUES (À L'EXCL. DES EAUX, DES JUS DE FRUITS OU DE LÉGUMES AINSI QUE DU LAIT)")</f>
        <v xml:space="preserve">   BOISSONS NON-ALCOOLIQUES (À L'EXCL. DES EAUX, DES JUS DE FRUITS OU DE LÉGUMES AINSI QUE DU LAIT)</v>
      </c>
      <c r="C6096">
        <v>3056816</v>
      </c>
      <c r="D6096">
        <v>14040</v>
      </c>
    </row>
    <row r="6097" spans="1:4" x14ac:dyDescent="0.25">
      <c r="A6097" t="str">
        <f>T("   220300")</f>
        <v xml:space="preserve">   220300</v>
      </c>
      <c r="B6097" t="str">
        <f>T("   Bières de malt")</f>
        <v xml:space="preserve">   Bières de malt</v>
      </c>
      <c r="C6097">
        <v>7343162</v>
      </c>
      <c r="D6097">
        <v>17498</v>
      </c>
    </row>
    <row r="6098" spans="1:4" x14ac:dyDescent="0.25">
      <c r="A6098" t="str">
        <f>T("   330190")</f>
        <v xml:space="preserve">   330190</v>
      </c>
      <c r="B6098" t="s">
        <v>95</v>
      </c>
      <c r="C6098">
        <v>2348336</v>
      </c>
      <c r="D6098">
        <v>2900</v>
      </c>
    </row>
    <row r="6099" spans="1:4" x14ac:dyDescent="0.25">
      <c r="A6099" t="str">
        <f>T("   330300")</f>
        <v xml:space="preserve">   330300</v>
      </c>
      <c r="B6099"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6099">
        <v>274188</v>
      </c>
      <c r="D6099">
        <v>897</v>
      </c>
    </row>
    <row r="6100" spans="1:4" x14ac:dyDescent="0.25">
      <c r="A6100" t="str">
        <f>T("   330499")</f>
        <v xml:space="preserve">   330499</v>
      </c>
      <c r="B6100" t="s">
        <v>97</v>
      </c>
      <c r="C6100">
        <v>15051709</v>
      </c>
      <c r="D6100">
        <v>19587</v>
      </c>
    </row>
    <row r="6101" spans="1:4" x14ac:dyDescent="0.25">
      <c r="A6101" t="str">
        <f>T("   330510")</f>
        <v xml:space="preserve">   330510</v>
      </c>
      <c r="B6101" t="str">
        <f>T("   Shampooings")</f>
        <v xml:space="preserve">   Shampooings</v>
      </c>
      <c r="C6101">
        <v>370617</v>
      </c>
      <c r="D6101">
        <v>310</v>
      </c>
    </row>
    <row r="6102" spans="1:4" x14ac:dyDescent="0.25">
      <c r="A6102" t="str">
        <f>T("   330610")</f>
        <v xml:space="preserve">   330610</v>
      </c>
      <c r="B6102" t="str">
        <f>T("   Dentifrices, préparés, même des types utilisés par les dentistes")</f>
        <v xml:space="preserve">   Dentifrices, préparés, même des types utilisés par les dentistes</v>
      </c>
      <c r="C6102">
        <v>411943</v>
      </c>
      <c r="D6102">
        <v>360</v>
      </c>
    </row>
    <row r="6103" spans="1:4" x14ac:dyDescent="0.25">
      <c r="A6103" t="str">
        <f>T("   330690")</f>
        <v xml:space="preserve">   330690</v>
      </c>
      <c r="B6103"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6103">
        <v>224338</v>
      </c>
      <c r="D6103">
        <v>89</v>
      </c>
    </row>
    <row r="6104" spans="1:4" x14ac:dyDescent="0.25">
      <c r="A6104" t="str">
        <f>T("   330720")</f>
        <v xml:space="preserve">   330720</v>
      </c>
      <c r="B6104" t="str">
        <f>T("   Désodorisants corporels et antisudoraux, préparés")</f>
        <v xml:space="preserve">   Désodorisants corporels et antisudoraux, préparés</v>
      </c>
      <c r="C6104">
        <v>3116734</v>
      </c>
      <c r="D6104">
        <v>2910</v>
      </c>
    </row>
    <row r="6105" spans="1:4" x14ac:dyDescent="0.25">
      <c r="A6105" t="str">
        <f>T("   330749")</f>
        <v xml:space="preserve">   330749</v>
      </c>
      <c r="B6105"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6105">
        <v>11970808</v>
      </c>
      <c r="D6105">
        <v>16683</v>
      </c>
    </row>
    <row r="6106" spans="1:4" x14ac:dyDescent="0.25">
      <c r="A6106" t="str">
        <f>T("   340111")</f>
        <v xml:space="preserve">   340111</v>
      </c>
      <c r="B6106" t="s">
        <v>98</v>
      </c>
      <c r="C6106">
        <v>308082331</v>
      </c>
      <c r="D6106">
        <v>1090860</v>
      </c>
    </row>
    <row r="6107" spans="1:4" x14ac:dyDescent="0.25">
      <c r="A6107" t="str">
        <f>T("   340119")</f>
        <v xml:space="preserve">   340119</v>
      </c>
      <c r="B6107" t="s">
        <v>99</v>
      </c>
      <c r="C6107">
        <v>76556410</v>
      </c>
      <c r="D6107">
        <v>396921.4</v>
      </c>
    </row>
    <row r="6108" spans="1:4" x14ac:dyDescent="0.25">
      <c r="A6108" t="str">
        <f>T("   340120")</f>
        <v xml:space="preserve">   340120</v>
      </c>
      <c r="B6108" t="str">
        <f>T("   Savons en flocons, en paillettes, en granulés ou en poudres et savons liquides ou pâteux")</f>
        <v xml:space="preserve">   Savons en flocons, en paillettes, en granulés ou en poudres et savons liquides ou pâteux</v>
      </c>
      <c r="C6108">
        <v>1163673</v>
      </c>
      <c r="D6108">
        <v>1670</v>
      </c>
    </row>
    <row r="6109" spans="1:4" x14ac:dyDescent="0.25">
      <c r="A6109" t="str">
        <f>T("   340219")</f>
        <v xml:space="preserve">   340219</v>
      </c>
      <c r="B6109"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6109">
        <v>24440436</v>
      </c>
      <c r="D6109">
        <v>71280</v>
      </c>
    </row>
    <row r="6110" spans="1:4" x14ac:dyDescent="0.25">
      <c r="A6110" t="str">
        <f>T("   340220")</f>
        <v xml:space="preserve">   340220</v>
      </c>
      <c r="B6110" t="s">
        <v>100</v>
      </c>
      <c r="C6110">
        <v>1015264</v>
      </c>
      <c r="D6110">
        <v>4811</v>
      </c>
    </row>
    <row r="6111" spans="1:4" x14ac:dyDescent="0.25">
      <c r="A6111" t="str">
        <f>T("   340530")</f>
        <v xml:space="preserve">   340530</v>
      </c>
      <c r="B6111" t="s">
        <v>107</v>
      </c>
      <c r="C6111">
        <v>3770495</v>
      </c>
      <c r="D6111">
        <v>2475</v>
      </c>
    </row>
    <row r="6112" spans="1:4" x14ac:dyDescent="0.25">
      <c r="A6112" t="str">
        <f>T("   340600")</f>
        <v xml:space="preserve">   340600</v>
      </c>
      <c r="B6112" t="str">
        <f>T("   Bougies, chandelles, cierges et articles simil.")</f>
        <v xml:space="preserve">   Bougies, chandelles, cierges et articles simil.</v>
      </c>
      <c r="C6112">
        <v>8065543</v>
      </c>
      <c r="D6112">
        <v>16364</v>
      </c>
    </row>
    <row r="6113" spans="1:4" x14ac:dyDescent="0.25">
      <c r="A6113" t="str">
        <f>T("   380810")</f>
        <v xml:space="preserve">   380810</v>
      </c>
      <c r="B6113"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6113">
        <v>10352934</v>
      </c>
      <c r="D6113">
        <v>15339</v>
      </c>
    </row>
    <row r="6114" spans="1:4" x14ac:dyDescent="0.25">
      <c r="A6114" t="str">
        <f>T("   380890")</f>
        <v xml:space="preserve">   380890</v>
      </c>
      <c r="B6114"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6114">
        <v>4285887</v>
      </c>
      <c r="D6114">
        <v>758</v>
      </c>
    </row>
    <row r="6115" spans="1:4" x14ac:dyDescent="0.25">
      <c r="A6115" t="str">
        <f>T("   391740")</f>
        <v xml:space="preserve">   391740</v>
      </c>
      <c r="B6115" t="str">
        <f>T("   Accessoires pour tubes ou tuyaux [joints, coudes, raccords, par exemple], en matières plastiques")</f>
        <v xml:space="preserve">   Accessoires pour tubes ou tuyaux [joints, coudes, raccords, par exemple], en matières plastiques</v>
      </c>
      <c r="C6115">
        <v>6518682</v>
      </c>
      <c r="D6115">
        <v>20590</v>
      </c>
    </row>
    <row r="6116" spans="1:4" x14ac:dyDescent="0.25">
      <c r="A6116" t="str">
        <f>T("   392329")</f>
        <v xml:space="preserve">   392329</v>
      </c>
      <c r="B6116" t="str">
        <f>T("   Sacs, sachets, pochettes et cornets, en matières plastiques (autres que les polymères de l'éthylène)")</f>
        <v xml:space="preserve">   Sacs, sachets, pochettes et cornets, en matières plastiques (autres que les polymères de l'éthylène)</v>
      </c>
      <c r="C6116">
        <v>52729</v>
      </c>
      <c r="D6116">
        <v>12</v>
      </c>
    </row>
    <row r="6117" spans="1:4" x14ac:dyDescent="0.25">
      <c r="A6117" t="str">
        <f>T("   392490")</f>
        <v xml:space="preserve">   392490</v>
      </c>
      <c r="B6117" t="s">
        <v>143</v>
      </c>
      <c r="C6117">
        <v>1084769</v>
      </c>
      <c r="D6117">
        <v>3004</v>
      </c>
    </row>
    <row r="6118" spans="1:4" x14ac:dyDescent="0.25">
      <c r="A6118" t="str">
        <f>T("   392610")</f>
        <v xml:space="preserve">   392610</v>
      </c>
      <c r="B6118" t="str">
        <f>T("   Articles de bureau et articles scolaires, en matières plastiques, n.d.a.")</f>
        <v xml:space="preserve">   Articles de bureau et articles scolaires, en matières plastiques, n.d.a.</v>
      </c>
      <c r="C6118">
        <v>4921918</v>
      </c>
      <c r="D6118">
        <v>7585</v>
      </c>
    </row>
    <row r="6119" spans="1:4" x14ac:dyDescent="0.25">
      <c r="A6119" t="str">
        <f>T("   392690")</f>
        <v xml:space="preserve">   392690</v>
      </c>
      <c r="B6119" t="str">
        <f>T("   Ouvrages en matières plastiques et ouvrages en autres matières du n° 3901 à 3914, n.d.a.")</f>
        <v xml:space="preserve">   Ouvrages en matières plastiques et ouvrages en autres matières du n° 3901 à 3914, n.d.a.</v>
      </c>
      <c r="C6119">
        <v>1626914</v>
      </c>
      <c r="D6119">
        <v>566</v>
      </c>
    </row>
    <row r="6120" spans="1:4" x14ac:dyDescent="0.25">
      <c r="A6120" t="str">
        <f>T("   401110")</f>
        <v xml:space="preserve">   401110</v>
      </c>
      <c r="B6120"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6120">
        <v>7387422</v>
      </c>
      <c r="D6120">
        <v>2476</v>
      </c>
    </row>
    <row r="6121" spans="1:4" x14ac:dyDescent="0.25">
      <c r="A6121" t="str">
        <f>T("   401691")</f>
        <v xml:space="preserve">   401691</v>
      </c>
      <c r="B6121" t="s">
        <v>153</v>
      </c>
      <c r="C6121">
        <v>304867</v>
      </c>
      <c r="D6121">
        <v>137</v>
      </c>
    </row>
    <row r="6122" spans="1:4" x14ac:dyDescent="0.25">
      <c r="A6122" t="str">
        <f>T("   480256")</f>
        <v xml:space="preserve">   480256</v>
      </c>
      <c r="B6122" t="s">
        <v>188</v>
      </c>
      <c r="C6122">
        <v>159906040</v>
      </c>
      <c r="D6122">
        <v>346860</v>
      </c>
    </row>
    <row r="6123" spans="1:4" x14ac:dyDescent="0.25">
      <c r="A6123" t="str">
        <f>T("   480258")</f>
        <v xml:space="preserve">   480258</v>
      </c>
      <c r="B6123" t="s">
        <v>190</v>
      </c>
      <c r="C6123">
        <v>9318603</v>
      </c>
      <c r="D6123">
        <v>19500</v>
      </c>
    </row>
    <row r="6124" spans="1:4" x14ac:dyDescent="0.25">
      <c r="A6124" t="str">
        <f>T("   481029")</f>
        <v xml:space="preserve">   481029</v>
      </c>
      <c r="B6124" t="s">
        <v>204</v>
      </c>
      <c r="C6124">
        <v>6761265</v>
      </c>
      <c r="D6124">
        <v>20554</v>
      </c>
    </row>
    <row r="6125" spans="1:4" x14ac:dyDescent="0.25">
      <c r="A6125" t="str">
        <f>T("   481840")</f>
        <v xml:space="preserve">   481840</v>
      </c>
      <c r="B6125"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6125">
        <v>1272070</v>
      </c>
      <c r="D6125">
        <v>467</v>
      </c>
    </row>
    <row r="6126" spans="1:4" x14ac:dyDescent="0.25">
      <c r="A6126" t="str">
        <f>T("   481910")</f>
        <v xml:space="preserve">   481910</v>
      </c>
      <c r="B6126" t="str">
        <f>T("   Boîtes et caisses en papier ou en carton ondulé")</f>
        <v xml:space="preserve">   Boîtes et caisses en papier ou en carton ondulé</v>
      </c>
      <c r="C6126">
        <v>17320</v>
      </c>
      <c r="D6126">
        <v>170</v>
      </c>
    </row>
    <row r="6127" spans="1:4" x14ac:dyDescent="0.25">
      <c r="A6127" t="str">
        <f>T("   482010")</f>
        <v xml:space="preserve">   482010</v>
      </c>
      <c r="B6127"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6127">
        <v>11576787</v>
      </c>
      <c r="D6127">
        <v>14666</v>
      </c>
    </row>
    <row r="6128" spans="1:4" x14ac:dyDescent="0.25">
      <c r="A6128" t="str">
        <f>T("   482020")</f>
        <v xml:space="preserve">   482020</v>
      </c>
      <c r="B6128" t="str">
        <f>T("   Cahiers pour l'écriture, en papier ou carton")</f>
        <v xml:space="preserve">   Cahiers pour l'écriture, en papier ou carton</v>
      </c>
      <c r="C6128">
        <v>276045978</v>
      </c>
      <c r="D6128">
        <v>517675.35</v>
      </c>
    </row>
    <row r="6129" spans="1:4" x14ac:dyDescent="0.25">
      <c r="A6129" t="str">
        <f>T("   482030")</f>
        <v xml:space="preserve">   482030</v>
      </c>
      <c r="B6129" t="str">
        <f>T("   Classeurs, reliures (autres que les couvertures pour livres), chemises et couvertures à dossiers, en papier ou en carton")</f>
        <v xml:space="preserve">   Classeurs, reliures (autres que les couvertures pour livres), chemises et couvertures à dossiers, en papier ou en carton</v>
      </c>
      <c r="C6129">
        <v>20504629</v>
      </c>
      <c r="D6129">
        <v>30502</v>
      </c>
    </row>
    <row r="6130" spans="1:4" x14ac:dyDescent="0.25">
      <c r="A6130" t="str">
        <f>T("   482040")</f>
        <v xml:space="preserve">   482040</v>
      </c>
      <c r="B6130" t="str">
        <f>T("   Liasses et carnets manifold, même comportant des feuilles de papier carbone, en papier ou carton")</f>
        <v xml:space="preserve">   Liasses et carnets manifold, même comportant des feuilles de papier carbone, en papier ou carton</v>
      </c>
      <c r="C6130">
        <v>11313057</v>
      </c>
      <c r="D6130">
        <v>5093</v>
      </c>
    </row>
    <row r="6131" spans="1:4" x14ac:dyDescent="0.25">
      <c r="A6131" t="str">
        <f>T("   482090")</f>
        <v xml:space="preserve">   482090</v>
      </c>
      <c r="B6131" t="s">
        <v>215</v>
      </c>
      <c r="C6131">
        <v>1460618</v>
      </c>
      <c r="D6131">
        <v>830</v>
      </c>
    </row>
    <row r="6132" spans="1:4" x14ac:dyDescent="0.25">
      <c r="A6132" t="str">
        <f>T("   491000")</f>
        <v xml:space="preserve">   491000</v>
      </c>
      <c r="B6132" t="str">
        <f>T("   Calendriers de tous genres, imprimés, y.c. les blocs de calendriers à effeuiller")</f>
        <v xml:space="preserve">   Calendriers de tous genres, imprimés, y.c. les blocs de calendriers à effeuiller</v>
      </c>
      <c r="C6132">
        <v>140335</v>
      </c>
      <c r="D6132">
        <v>11</v>
      </c>
    </row>
    <row r="6133" spans="1:4" x14ac:dyDescent="0.25">
      <c r="A6133" t="str">
        <f>T("   520849")</f>
        <v xml:space="preserve">   520849</v>
      </c>
      <c r="B6133"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6133">
        <v>17000148</v>
      </c>
      <c r="D6133">
        <v>14612</v>
      </c>
    </row>
    <row r="6134" spans="1:4" x14ac:dyDescent="0.25">
      <c r="A6134" t="str">
        <f>T("   520852")</f>
        <v xml:space="preserve">   520852</v>
      </c>
      <c r="B6134" t="str">
        <f>T("   Tissus de coton, imprimés, à armure toile, contenant &gt;= 85% en poids de coton, d'un poids &gt; 100 g/m² mais &lt;= 200 g/m²")</f>
        <v xml:space="preserve">   Tissus de coton, imprimés, à armure toile, contenant &gt;= 85% en poids de coton, d'un poids &gt; 100 g/m² mais &lt;= 200 g/m²</v>
      </c>
      <c r="C6134">
        <v>20000000</v>
      </c>
      <c r="D6134">
        <v>18480</v>
      </c>
    </row>
    <row r="6135" spans="1:4" x14ac:dyDescent="0.25">
      <c r="A6135" t="str">
        <f>T("   560110")</f>
        <v xml:space="preserve">   560110</v>
      </c>
      <c r="B6135" t="str">
        <f>T("   Serviettes et tampons hygiéniques, couches pour bébés et articles hygiéniques simil., en ouates")</f>
        <v xml:space="preserve">   Serviettes et tampons hygiéniques, couches pour bébés et articles hygiéniques simil., en ouates</v>
      </c>
      <c r="C6135">
        <v>102330</v>
      </c>
      <c r="D6135">
        <v>55</v>
      </c>
    </row>
    <row r="6136" spans="1:4" x14ac:dyDescent="0.25">
      <c r="A6136" t="str">
        <f>T("   610910")</f>
        <v xml:space="preserve">   610910</v>
      </c>
      <c r="B6136" t="str">
        <f>T("   T-shirts et maillots de corps, en bonneterie, de coton,")</f>
        <v xml:space="preserve">   T-shirts et maillots de corps, en bonneterie, de coton,</v>
      </c>
      <c r="C6136">
        <v>121755</v>
      </c>
      <c r="D6136">
        <v>193</v>
      </c>
    </row>
    <row r="6137" spans="1:4" x14ac:dyDescent="0.25">
      <c r="A6137" t="str">
        <f>T("   611490")</f>
        <v xml:space="preserve">   611490</v>
      </c>
      <c r="B6137"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6137">
        <v>132504</v>
      </c>
      <c r="D6137">
        <v>582</v>
      </c>
    </row>
    <row r="6138" spans="1:4" x14ac:dyDescent="0.25">
      <c r="A6138" t="str">
        <f>T("   620920")</f>
        <v xml:space="preserve">   620920</v>
      </c>
      <c r="B6138" t="str">
        <f>T("   Vêtements et accessoires du vêtement, de coton, pour bébés (autres qu'en bonneterie et sauf bonnets)")</f>
        <v xml:space="preserve">   Vêtements et accessoires du vêtement, de coton, pour bébés (autres qu'en bonneterie et sauf bonnets)</v>
      </c>
      <c r="C6138">
        <v>7227639</v>
      </c>
      <c r="D6138">
        <v>560</v>
      </c>
    </row>
    <row r="6139" spans="1:4" x14ac:dyDescent="0.25">
      <c r="A6139" t="str">
        <f>T("   630229")</f>
        <v xml:space="preserve">   630229</v>
      </c>
      <c r="B6139"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6139">
        <v>1255897</v>
      </c>
      <c r="D6139">
        <v>2385</v>
      </c>
    </row>
    <row r="6140" spans="1:4" x14ac:dyDescent="0.25">
      <c r="A6140" t="str">
        <f>T("   640590")</f>
        <v xml:space="preserve">   640590</v>
      </c>
      <c r="B6140" t="s">
        <v>283</v>
      </c>
      <c r="C6140">
        <v>370617</v>
      </c>
      <c r="D6140">
        <v>1615</v>
      </c>
    </row>
    <row r="6141" spans="1:4" x14ac:dyDescent="0.25">
      <c r="A6141" t="str">
        <f>T("   690790")</f>
        <v xml:space="preserve">   690790</v>
      </c>
      <c r="B6141" t="s">
        <v>306</v>
      </c>
      <c r="C6141">
        <v>239425</v>
      </c>
      <c r="D6141">
        <v>1050</v>
      </c>
    </row>
    <row r="6142" spans="1:4" x14ac:dyDescent="0.25">
      <c r="A6142" t="str">
        <f>T("   691010")</f>
        <v xml:space="preserve">   691010</v>
      </c>
      <c r="B6142" t="s">
        <v>309</v>
      </c>
      <c r="C6142">
        <v>4422484</v>
      </c>
      <c r="D6142">
        <v>26325</v>
      </c>
    </row>
    <row r="6143" spans="1:4" x14ac:dyDescent="0.25">
      <c r="A6143" t="str">
        <f>T("   701321")</f>
        <v xml:space="preserve">   701321</v>
      </c>
      <c r="B6143" t="str">
        <f>T("   Verres à boire en cristal au plomb")</f>
        <v xml:space="preserve">   Verres à boire en cristal au plomb</v>
      </c>
      <c r="C6143">
        <v>11972390</v>
      </c>
      <c r="D6143">
        <v>34876</v>
      </c>
    </row>
    <row r="6144" spans="1:4" x14ac:dyDescent="0.25">
      <c r="A6144" t="str">
        <f>T("   701329")</f>
        <v xml:space="preserve">   701329</v>
      </c>
      <c r="B6144" t="str">
        <f>T("   Verres à boire (autres qu'en vitrocérame, autres qu'en cristal au plomb)")</f>
        <v xml:space="preserve">   Verres à boire (autres qu'en vitrocérame, autres qu'en cristal au plomb)</v>
      </c>
      <c r="C6144">
        <v>552691</v>
      </c>
      <c r="D6144">
        <v>5525</v>
      </c>
    </row>
    <row r="6145" spans="1:4" x14ac:dyDescent="0.25">
      <c r="A6145" t="str">
        <f>T("   701399")</f>
        <v xml:space="preserve">   701399</v>
      </c>
      <c r="B6145" t="s">
        <v>326</v>
      </c>
      <c r="C6145">
        <v>11065694</v>
      </c>
      <c r="D6145">
        <v>35522</v>
      </c>
    </row>
    <row r="6146" spans="1:4" x14ac:dyDescent="0.25">
      <c r="A6146" t="str">
        <f>T("   821210")</f>
        <v xml:space="preserve">   821210</v>
      </c>
      <c r="B6146" t="str">
        <f>T("   Rasoirs et rasoirs de sûreté non-électriques, en métaux communs")</f>
        <v xml:space="preserve">   Rasoirs et rasoirs de sûreté non-électriques, en métaux communs</v>
      </c>
      <c r="C6146">
        <v>500441</v>
      </c>
      <c r="D6146">
        <v>1638</v>
      </c>
    </row>
    <row r="6147" spans="1:4" x14ac:dyDescent="0.25">
      <c r="A6147" t="str">
        <f>T("   841510")</f>
        <v xml:space="preserve">   841510</v>
      </c>
      <c r="B6147" t="s">
        <v>400</v>
      </c>
      <c r="C6147">
        <v>32203153</v>
      </c>
      <c r="D6147">
        <v>11947.41</v>
      </c>
    </row>
    <row r="6148" spans="1:4" x14ac:dyDescent="0.25">
      <c r="A6148" t="str">
        <f>T("   841821")</f>
        <v xml:space="preserve">   841821</v>
      </c>
      <c r="B6148" t="str">
        <f>T("   Réfrigérateurs ménagers à compression")</f>
        <v xml:space="preserve">   Réfrigérateurs ménagers à compression</v>
      </c>
      <c r="C6148">
        <v>5586587</v>
      </c>
      <c r="D6148">
        <v>2288.5</v>
      </c>
    </row>
    <row r="6149" spans="1:4" x14ac:dyDescent="0.25">
      <c r="A6149" t="str">
        <f>T("   845011")</f>
        <v xml:space="preserve">   845011</v>
      </c>
      <c r="B6149" t="str">
        <f>T("   Machines à laver le linge entièrement automatiques, d'une capacité unitaire exprimée en poids de linge sec &lt;= 6 kg")</f>
        <v xml:space="preserve">   Machines à laver le linge entièrement automatiques, d'une capacité unitaire exprimée en poids de linge sec &lt;= 6 kg</v>
      </c>
      <c r="C6149">
        <v>2737807</v>
      </c>
      <c r="D6149">
        <v>245.8</v>
      </c>
    </row>
    <row r="6150" spans="1:4" x14ac:dyDescent="0.25">
      <c r="A6150" t="str">
        <f>T("   848180")</f>
        <v xml:space="preserve">   848180</v>
      </c>
      <c r="B6150"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6150">
        <v>1880011</v>
      </c>
      <c r="D6150">
        <v>5090</v>
      </c>
    </row>
    <row r="6151" spans="1:4" x14ac:dyDescent="0.25">
      <c r="A6151" t="str">
        <f>T("   850220")</f>
        <v xml:space="preserve">   850220</v>
      </c>
      <c r="B6151" t="s">
        <v>446</v>
      </c>
      <c r="C6151">
        <v>342256</v>
      </c>
      <c r="D6151">
        <v>948</v>
      </c>
    </row>
    <row r="6152" spans="1:4" x14ac:dyDescent="0.25">
      <c r="A6152" t="str">
        <f>T("   851610")</f>
        <v xml:space="preserve">   851610</v>
      </c>
      <c r="B6152" t="str">
        <f>T("   Chauffe-eau et thermoplongeurs électriques")</f>
        <v xml:space="preserve">   Chauffe-eau et thermoplongeurs électriques</v>
      </c>
      <c r="C6152">
        <v>580014</v>
      </c>
      <c r="D6152">
        <v>3352</v>
      </c>
    </row>
    <row r="6153" spans="1:4" x14ac:dyDescent="0.25">
      <c r="A6153" t="str">
        <f>T("   851829")</f>
        <v xml:space="preserve">   851829</v>
      </c>
      <c r="B6153" t="str">
        <f>T("   Haut-parleurs sans enceinte")</f>
        <v xml:space="preserve">   Haut-parleurs sans enceinte</v>
      </c>
      <c r="C6153">
        <v>11804473</v>
      </c>
      <c r="D6153">
        <v>6341</v>
      </c>
    </row>
    <row r="6154" spans="1:4" x14ac:dyDescent="0.25">
      <c r="A6154" t="str">
        <f>T("   852739")</f>
        <v xml:space="preserve">   852739</v>
      </c>
      <c r="B6154" t="s">
        <v>463</v>
      </c>
      <c r="C6154">
        <v>1862712</v>
      </c>
      <c r="D6154">
        <v>606</v>
      </c>
    </row>
    <row r="6155" spans="1:4" x14ac:dyDescent="0.25">
      <c r="A6155" t="str">
        <f>T("   852812")</f>
        <v xml:space="preserve">   852812</v>
      </c>
      <c r="B615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6155">
        <v>547561</v>
      </c>
      <c r="D6155">
        <v>246</v>
      </c>
    </row>
    <row r="6156" spans="1:4" x14ac:dyDescent="0.25">
      <c r="A6156" t="str">
        <f>T("   853720")</f>
        <v xml:space="preserve">   853720</v>
      </c>
      <c r="B6156"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6156">
        <v>167145750</v>
      </c>
      <c r="D6156">
        <v>19445</v>
      </c>
    </row>
    <row r="6157" spans="1:4" x14ac:dyDescent="0.25">
      <c r="A6157" t="str">
        <f>T("   854389")</f>
        <v xml:space="preserve">   854389</v>
      </c>
      <c r="B6157" t="str">
        <f>T("   MACHINES ET APPAREILS ÉLECTRIQUES AYANT UNE FONCTION PROPRE, N.D.A. DANS LE CHAPITRE 85")</f>
        <v xml:space="preserve">   MACHINES ET APPAREILS ÉLECTRIQUES AYANT UNE FONCTION PROPRE, N.D.A. DANS LE CHAPITRE 85</v>
      </c>
      <c r="C6157">
        <v>1137977</v>
      </c>
      <c r="D6157">
        <v>566</v>
      </c>
    </row>
    <row r="6158" spans="1:4" x14ac:dyDescent="0.25">
      <c r="A6158" t="str">
        <f>T("   940330")</f>
        <v xml:space="preserve">   940330</v>
      </c>
      <c r="B6158" t="str">
        <f>T("   Meubles de bureau en bois (sauf sièges)")</f>
        <v xml:space="preserve">   Meubles de bureau en bois (sauf sièges)</v>
      </c>
      <c r="C6158">
        <v>2036384</v>
      </c>
      <c r="D6158">
        <v>4583</v>
      </c>
    </row>
    <row r="6159" spans="1:4" x14ac:dyDescent="0.25">
      <c r="A6159" t="str">
        <f>T("   940350")</f>
        <v xml:space="preserve">   940350</v>
      </c>
      <c r="B6159" t="str">
        <f>T("   Meubles pour chambres à coucher, en bois (sauf sièges)")</f>
        <v xml:space="preserve">   Meubles pour chambres à coucher, en bois (sauf sièges)</v>
      </c>
      <c r="C6159">
        <v>5019067</v>
      </c>
      <c r="D6159">
        <v>11051</v>
      </c>
    </row>
    <row r="6160" spans="1:4" x14ac:dyDescent="0.25">
      <c r="A6160" t="str">
        <f>T("   940360")</f>
        <v xml:space="preserve">   940360</v>
      </c>
      <c r="B6160" t="str">
        <f>T("   Meubles en bois (autres que pour bureaux, cuisines ou chambres à coucher et autres que sièges)")</f>
        <v xml:space="preserve">   Meubles en bois (autres que pour bureaux, cuisines ou chambres à coucher et autres que sièges)</v>
      </c>
      <c r="C6160">
        <v>1332310</v>
      </c>
      <c r="D6160">
        <v>3910</v>
      </c>
    </row>
    <row r="6161" spans="1:4" x14ac:dyDescent="0.25">
      <c r="A6161" t="str">
        <f>T("   940380")</f>
        <v xml:space="preserve">   940380</v>
      </c>
      <c r="B6161" t="str">
        <f>T("   Meubles en rotin, osier, bambou ou autres matières (sauf métal, bois et matières plastiques)")</f>
        <v xml:space="preserve">   Meubles en rotin, osier, bambou ou autres matières (sauf métal, bois et matières plastiques)</v>
      </c>
      <c r="C6161">
        <v>16144521</v>
      </c>
      <c r="D6161">
        <v>40240</v>
      </c>
    </row>
    <row r="6162" spans="1:4" x14ac:dyDescent="0.25">
      <c r="A6162" t="str">
        <f>T("   940490")</f>
        <v xml:space="preserve">   940490</v>
      </c>
      <c r="B6162" t="s">
        <v>505</v>
      </c>
      <c r="C6162">
        <v>790928</v>
      </c>
      <c r="D6162">
        <v>3148</v>
      </c>
    </row>
    <row r="6163" spans="1:4" x14ac:dyDescent="0.25">
      <c r="A6163" t="str">
        <f>T("   960321")</f>
        <v xml:space="preserve">   960321</v>
      </c>
      <c r="B6163" t="str">
        <f>T("   Brosses à dent, y.c. brosses à prothèses dentaires")</f>
        <v xml:space="preserve">   Brosses à dent, y.c. brosses à prothèses dentaires</v>
      </c>
      <c r="C6163">
        <v>301742</v>
      </c>
      <c r="D6163">
        <v>310</v>
      </c>
    </row>
    <row r="6164" spans="1:4" x14ac:dyDescent="0.25">
      <c r="A6164" t="str">
        <f>T("IE")</f>
        <v>IE</v>
      </c>
      <c r="B6164" t="str">
        <f>T("Irlande")</f>
        <v>Irlande</v>
      </c>
    </row>
    <row r="6165" spans="1:4" x14ac:dyDescent="0.25">
      <c r="A6165" t="str">
        <f>T("   ZZ_Total_Produit_SH6")</f>
        <v xml:space="preserve">   ZZ_Total_Produit_SH6</v>
      </c>
      <c r="B6165" t="str">
        <f>T("   ZZ_Total_Produit_SH6")</f>
        <v xml:space="preserve">   ZZ_Total_Produit_SH6</v>
      </c>
      <c r="C6165">
        <v>2712855994</v>
      </c>
      <c r="D6165">
        <v>4496010</v>
      </c>
    </row>
    <row r="6166" spans="1:4" x14ac:dyDescent="0.25">
      <c r="A6166" t="str">
        <f>T("   020712")</f>
        <v xml:space="preserve">   020712</v>
      </c>
      <c r="B6166" t="str">
        <f>T("   COQS ET POULES [DES ESPÈCES DOMESTIQUES], NON-DÉCOUPÉS EN MORCEAUX, CONGELÉS")</f>
        <v xml:space="preserve">   COQS ET POULES [DES ESPÈCES DOMESTIQUES], NON-DÉCOUPÉS EN MORCEAUX, CONGELÉS</v>
      </c>
      <c r="C6166">
        <v>15005085</v>
      </c>
      <c r="D6166">
        <v>25000</v>
      </c>
    </row>
    <row r="6167" spans="1:4" x14ac:dyDescent="0.25">
      <c r="A6167" t="str">
        <f>T("   020714")</f>
        <v xml:space="preserve">   020714</v>
      </c>
      <c r="B6167" t="str">
        <f>T("   Morceaux et abats comestibles de coqs et de poules [des espèces domestiques], congelés")</f>
        <v xml:space="preserve">   Morceaux et abats comestibles de coqs et de poules [des espèces domestiques], congelés</v>
      </c>
      <c r="C6167">
        <v>560344274</v>
      </c>
      <c r="D6167">
        <v>916900</v>
      </c>
    </row>
    <row r="6168" spans="1:4" x14ac:dyDescent="0.25">
      <c r="A6168" t="str">
        <f>T("   020727")</f>
        <v xml:space="preserve">   020727</v>
      </c>
      <c r="B6168" t="str">
        <f>T("   Morceaux et abats comestibles de dindes et dindons [des espèces domestiques], congelés")</f>
        <v xml:space="preserve">   Morceaux et abats comestibles de dindes et dindons [des espèces domestiques], congelés</v>
      </c>
      <c r="C6168">
        <v>211187448</v>
      </c>
      <c r="D6168">
        <v>354680</v>
      </c>
    </row>
    <row r="6169" spans="1:4" x14ac:dyDescent="0.25">
      <c r="A6169" t="str">
        <f>T("   030329")</f>
        <v xml:space="preserve">   030329</v>
      </c>
      <c r="B6169" t="str">
        <f>T("   Salmonidés, congelés (à l'excl. des saumons du Pacifique, de l'Atlantique et du Danube ainsi que des truites)")</f>
        <v xml:space="preserve">   Salmonidés, congelés (à l'excl. des saumons du Pacifique, de l'Atlantique et du Danube ainsi que des truites)</v>
      </c>
      <c r="C6169">
        <v>43750865</v>
      </c>
      <c r="D6169">
        <v>250000</v>
      </c>
    </row>
    <row r="6170" spans="1:4" x14ac:dyDescent="0.25">
      <c r="A6170" t="str">
        <f>T("   030379")</f>
        <v xml:space="preserve">   030379</v>
      </c>
      <c r="B6170" t="s">
        <v>17</v>
      </c>
      <c r="C6170">
        <v>130503079</v>
      </c>
      <c r="D6170">
        <v>736250</v>
      </c>
    </row>
    <row r="6171" spans="1:4" x14ac:dyDescent="0.25">
      <c r="A6171" t="str">
        <f>T("   040221")</f>
        <v xml:space="preserve">   040221</v>
      </c>
      <c r="B6171"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6171">
        <v>44962072</v>
      </c>
      <c r="D6171">
        <v>30875</v>
      </c>
    </row>
    <row r="6172" spans="1:4" x14ac:dyDescent="0.25">
      <c r="A6172" t="str">
        <f>T("   110710")</f>
        <v xml:space="preserve">   110710</v>
      </c>
      <c r="B6172" t="str">
        <f>T("   MALT, NON-TORRÉFIÉ")</f>
        <v xml:space="preserve">   MALT, NON-TORRÉFIÉ</v>
      </c>
      <c r="C6172">
        <v>284450796</v>
      </c>
      <c r="D6172">
        <v>665519</v>
      </c>
    </row>
    <row r="6173" spans="1:4" x14ac:dyDescent="0.25">
      <c r="A6173" t="str">
        <f>T("   130213")</f>
        <v xml:space="preserve">   130213</v>
      </c>
      <c r="B6173" t="str">
        <f>T("   Extraits de houblon")</f>
        <v xml:space="preserve">   Extraits de houblon</v>
      </c>
      <c r="C6173">
        <v>24839651</v>
      </c>
      <c r="D6173">
        <v>1018</v>
      </c>
    </row>
    <row r="6174" spans="1:4" x14ac:dyDescent="0.25">
      <c r="A6174" t="str">
        <f>T("   210690")</f>
        <v xml:space="preserve">   210690</v>
      </c>
      <c r="B6174" t="str">
        <f>T("   Préparations alimentaires, n.d.a.")</f>
        <v xml:space="preserve">   Préparations alimentaires, n.d.a.</v>
      </c>
      <c r="C6174">
        <v>455286748</v>
      </c>
      <c r="D6174">
        <v>87912</v>
      </c>
    </row>
    <row r="6175" spans="1:4" x14ac:dyDescent="0.25">
      <c r="A6175" t="str">
        <f>T("   280429")</f>
        <v xml:space="preserve">   280429</v>
      </c>
      <c r="B6175" t="str">
        <f>T("   Gaz rares (à l'excl. de l'argon)")</f>
        <v xml:space="preserve">   Gaz rares (à l'excl. de l'argon)</v>
      </c>
      <c r="C6175">
        <v>1387578</v>
      </c>
      <c r="D6175">
        <v>195</v>
      </c>
    </row>
    <row r="6176" spans="1:4" x14ac:dyDescent="0.25">
      <c r="A6176" t="str">
        <f>T("   290219")</f>
        <v xml:space="preserve">   290219</v>
      </c>
      <c r="B6176" t="str">
        <f>T("   Hydrocarbures cyclaniques, cycléniques ou cycloterpéniques (à l'excl. du cyclohexane)")</f>
        <v xml:space="preserve">   Hydrocarbures cyclaniques, cycléniques ou cycloterpéniques (à l'excl. du cyclohexane)</v>
      </c>
      <c r="C6176">
        <v>316763</v>
      </c>
      <c r="D6176">
        <v>36</v>
      </c>
    </row>
    <row r="6177" spans="1:4" x14ac:dyDescent="0.25">
      <c r="A6177" t="str">
        <f>T("   300490")</f>
        <v xml:space="preserve">   300490</v>
      </c>
      <c r="B6177" t="s">
        <v>79</v>
      </c>
      <c r="C6177">
        <v>6286721</v>
      </c>
      <c r="D6177">
        <v>306</v>
      </c>
    </row>
    <row r="6178" spans="1:4" x14ac:dyDescent="0.25">
      <c r="A6178" t="str">
        <f>T("   330210")</f>
        <v xml:space="preserve">   330210</v>
      </c>
      <c r="B6178"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6178">
        <v>75755074</v>
      </c>
      <c r="D6178">
        <v>28976</v>
      </c>
    </row>
    <row r="6179" spans="1:4" x14ac:dyDescent="0.25">
      <c r="A6179" t="str">
        <f>T("   392010")</f>
        <v xml:space="preserve">   392010</v>
      </c>
      <c r="B6179" t="s">
        <v>128</v>
      </c>
      <c r="C6179">
        <v>2361994</v>
      </c>
      <c r="D6179">
        <v>1395</v>
      </c>
    </row>
    <row r="6180" spans="1:4" x14ac:dyDescent="0.25">
      <c r="A6180" t="str">
        <f>T("   420229")</f>
        <v xml:space="preserve">   420229</v>
      </c>
      <c r="B6180"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180">
        <v>473604</v>
      </c>
      <c r="D6180">
        <v>675</v>
      </c>
    </row>
    <row r="6181" spans="1:4" x14ac:dyDescent="0.25">
      <c r="A6181" t="str">
        <f>T("   482110")</f>
        <v xml:space="preserve">   482110</v>
      </c>
      <c r="B6181" t="str">
        <f>T("   ÉTIQUETTES DE TOUS GENRES, EN PAPIER OU EN CARTON, IMPRIMÉES")</f>
        <v xml:space="preserve">   ÉTIQUETTES DE TOUS GENRES, EN PAPIER OU EN CARTON, IMPRIMÉES</v>
      </c>
      <c r="C6181">
        <v>7481230</v>
      </c>
      <c r="D6181">
        <v>1397</v>
      </c>
    </row>
    <row r="6182" spans="1:4" x14ac:dyDescent="0.25">
      <c r="A6182" t="str">
        <f>T("   630622")</f>
        <v xml:space="preserve">   630622</v>
      </c>
      <c r="B6182" t="str">
        <f>T("   Tentes de fibres synthétiques (sauf paravents)")</f>
        <v xml:space="preserve">   Tentes de fibres synthétiques (sauf paravents)</v>
      </c>
      <c r="C6182">
        <v>1400475</v>
      </c>
      <c r="D6182">
        <v>2100</v>
      </c>
    </row>
    <row r="6183" spans="1:4" x14ac:dyDescent="0.25">
      <c r="A6183" t="str">
        <f>T("   630900")</f>
        <v xml:space="preserve">   630900</v>
      </c>
      <c r="B6183" t="s">
        <v>273</v>
      </c>
      <c r="C6183">
        <v>694334037</v>
      </c>
      <c r="D6183">
        <v>1325157</v>
      </c>
    </row>
    <row r="6184" spans="1:4" x14ac:dyDescent="0.25">
      <c r="A6184" t="str">
        <f>T("   640590")</f>
        <v xml:space="preserve">   640590</v>
      </c>
      <c r="B6184" t="s">
        <v>283</v>
      </c>
      <c r="C6184">
        <v>1103326</v>
      </c>
      <c r="D6184">
        <v>1575</v>
      </c>
    </row>
    <row r="6185" spans="1:4" x14ac:dyDescent="0.25">
      <c r="A6185" t="str">
        <f>T("   820559")</f>
        <v xml:space="preserve">   820559</v>
      </c>
      <c r="B6185" t="str">
        <f>T("   Outils à main, y.c. -les diamants de vitrier-, en métaux communs, n.d.a.")</f>
        <v xml:space="preserve">   Outils à main, y.c. -les diamants de vitrier-, en métaux communs, n.d.a.</v>
      </c>
      <c r="C6185">
        <v>200068</v>
      </c>
      <c r="D6185">
        <v>395</v>
      </c>
    </row>
    <row r="6186" spans="1:4" x14ac:dyDescent="0.25">
      <c r="A6186" t="str">
        <f>T("   830910")</f>
        <v xml:space="preserve">   830910</v>
      </c>
      <c r="B6186" t="str">
        <f>T("   Bouchons-couronnes en métaux communs")</f>
        <v xml:space="preserve">   Bouchons-couronnes en métaux communs</v>
      </c>
      <c r="C6186">
        <v>26140721</v>
      </c>
      <c r="D6186">
        <v>11023</v>
      </c>
    </row>
    <row r="6187" spans="1:4" x14ac:dyDescent="0.25">
      <c r="A6187" t="str">
        <f>T("   842430")</f>
        <v xml:space="preserve">   842430</v>
      </c>
      <c r="B6187" t="s">
        <v>409</v>
      </c>
      <c r="C6187">
        <v>45345551</v>
      </c>
      <c r="D6187">
        <v>46058</v>
      </c>
    </row>
    <row r="6188" spans="1:4" x14ac:dyDescent="0.25">
      <c r="A6188" t="str">
        <f>T("   847330")</f>
        <v xml:space="preserve">   847330</v>
      </c>
      <c r="B6188" t="str">
        <f>T("   Parties et accessoires pour machines automatiques de traitement de l'information ou pour autres machines du n° 8471, n.d.a.")</f>
        <v xml:space="preserve">   Parties et accessoires pour machines automatiques de traitement de l'information ou pour autres machines du n° 8471, n.d.a.</v>
      </c>
      <c r="C6188">
        <v>32121705</v>
      </c>
      <c r="D6188">
        <v>535</v>
      </c>
    </row>
    <row r="6189" spans="1:4" x14ac:dyDescent="0.25">
      <c r="A6189" t="str">
        <f>T("   848180")</f>
        <v xml:space="preserve">   848180</v>
      </c>
      <c r="B6189"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6189">
        <v>8606852</v>
      </c>
      <c r="D6189">
        <v>1091</v>
      </c>
    </row>
    <row r="6190" spans="1:4" x14ac:dyDescent="0.25">
      <c r="A6190" t="str">
        <f>T("   850440")</f>
        <v xml:space="preserve">   850440</v>
      </c>
      <c r="B6190" t="str">
        <f>T("   CONVERTISSEURS STATIQUES")</f>
        <v xml:space="preserve">   CONVERTISSEURS STATIQUES</v>
      </c>
      <c r="C6190">
        <v>33601873</v>
      </c>
      <c r="D6190">
        <v>1482</v>
      </c>
    </row>
    <row r="6191" spans="1:4" x14ac:dyDescent="0.25">
      <c r="A6191" t="str">
        <f>T("   850490")</f>
        <v xml:space="preserve">   850490</v>
      </c>
      <c r="B6191" t="str">
        <f>T("   Parties de transformateurs, de bobines de réactance et selfs n.d.a.")</f>
        <v xml:space="preserve">   Parties de transformateurs, de bobines de réactance et selfs n.d.a.</v>
      </c>
      <c r="C6191">
        <v>1859399</v>
      </c>
      <c r="D6191">
        <v>167</v>
      </c>
    </row>
    <row r="6192" spans="1:4" x14ac:dyDescent="0.25">
      <c r="A6192" t="str">
        <f>T("   854449")</f>
        <v xml:space="preserve">   854449</v>
      </c>
      <c r="B6192" t="str">
        <f>T("   CONDUCTEURS ÉLECTRIQUES, POUR TENSION &lt;= 1.000 V, ISOLÉS, SANS PIÈCES DE CONNEXION, N.D.A.")</f>
        <v xml:space="preserve">   CONDUCTEURS ÉLECTRIQUES, POUR TENSION &lt;= 1.000 V, ISOLÉS, SANS PIÈCES DE CONNEXION, N.D.A.</v>
      </c>
      <c r="C6192">
        <v>393576</v>
      </c>
      <c r="D6192">
        <v>1200</v>
      </c>
    </row>
    <row r="6193" spans="1:4" x14ac:dyDescent="0.25">
      <c r="A6193" t="str">
        <f>T("   870322")</f>
        <v xml:space="preserve">   870322</v>
      </c>
      <c r="B6193" t="s">
        <v>472</v>
      </c>
      <c r="C6193">
        <v>2711784</v>
      </c>
      <c r="D6193">
        <v>3175</v>
      </c>
    </row>
    <row r="6194" spans="1:4" x14ac:dyDescent="0.25">
      <c r="A6194" t="str">
        <f>T("   950390")</f>
        <v xml:space="preserve">   950390</v>
      </c>
      <c r="B6194" t="str">
        <f>T("   Jouets, n.d.a.")</f>
        <v xml:space="preserve">   Jouets, n.d.a.</v>
      </c>
      <c r="C6194">
        <v>643645</v>
      </c>
      <c r="D6194">
        <v>918</v>
      </c>
    </row>
    <row r="6195" spans="1:4" x14ac:dyDescent="0.25">
      <c r="A6195" t="str">
        <f>T("IL")</f>
        <v>IL</v>
      </c>
      <c r="B6195" t="str">
        <f>T("Israël")</f>
        <v>Israël</v>
      </c>
    </row>
    <row r="6196" spans="1:4" x14ac:dyDescent="0.25">
      <c r="A6196" t="str">
        <f>T("   ZZ_Total_Produit_SH6")</f>
        <v xml:space="preserve">   ZZ_Total_Produit_SH6</v>
      </c>
      <c r="B6196" t="str">
        <f>T("   ZZ_Total_Produit_SH6")</f>
        <v xml:space="preserve">   ZZ_Total_Produit_SH6</v>
      </c>
      <c r="C6196">
        <v>3094541151</v>
      </c>
      <c r="D6196">
        <v>8906899</v>
      </c>
    </row>
    <row r="6197" spans="1:4" x14ac:dyDescent="0.25">
      <c r="A6197" t="str">
        <f>T("   080610")</f>
        <v xml:space="preserve">   080610</v>
      </c>
      <c r="B6197" t="str">
        <f>T("   Raisins, frais")</f>
        <v xml:space="preserve">   Raisins, frais</v>
      </c>
      <c r="C6197">
        <v>39055471</v>
      </c>
      <c r="D6197">
        <v>101336</v>
      </c>
    </row>
    <row r="6198" spans="1:4" x14ac:dyDescent="0.25">
      <c r="A6198" t="str">
        <f>T("   080940")</f>
        <v xml:space="preserve">   080940</v>
      </c>
      <c r="B6198" t="str">
        <f>T("   Prunes et prunelles, fraîches")</f>
        <v xml:space="preserve">   Prunes et prunelles, fraîches</v>
      </c>
      <c r="C6198">
        <v>7475379</v>
      </c>
      <c r="D6198">
        <v>19480</v>
      </c>
    </row>
    <row r="6199" spans="1:4" x14ac:dyDescent="0.25">
      <c r="A6199" t="str">
        <f>T("   271011")</f>
        <v xml:space="preserve">   271011</v>
      </c>
      <c r="B6199"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6199">
        <v>10157490</v>
      </c>
      <c r="D6199">
        <v>32490</v>
      </c>
    </row>
    <row r="6200" spans="1:4" x14ac:dyDescent="0.25">
      <c r="A6200" t="str">
        <f>T("   271019")</f>
        <v xml:space="preserve">   271019</v>
      </c>
      <c r="B6200" t="str">
        <f>T("   Huiles moyennes et préparations, de pétrole ou de minéraux bitumineux, n.d.a.")</f>
        <v xml:space="preserve">   Huiles moyennes et préparations, de pétrole ou de minéraux bitumineux, n.d.a.</v>
      </c>
      <c r="C6200">
        <v>1349306497</v>
      </c>
      <c r="D6200">
        <v>7858862</v>
      </c>
    </row>
    <row r="6201" spans="1:4" x14ac:dyDescent="0.25">
      <c r="A6201" t="str">
        <f>T("   630900")</f>
        <v xml:space="preserve">   630900</v>
      </c>
      <c r="B6201" t="s">
        <v>273</v>
      </c>
      <c r="C6201">
        <v>389862150</v>
      </c>
      <c r="D6201">
        <v>787677</v>
      </c>
    </row>
    <row r="6202" spans="1:4" x14ac:dyDescent="0.25">
      <c r="A6202" t="str">
        <f>T("   730820")</f>
        <v xml:space="preserve">   730820</v>
      </c>
      <c r="B6202" t="str">
        <f>T("   Tours et pylônes, en fer ou en acier")</f>
        <v xml:space="preserve">   Tours et pylônes, en fer ou en acier</v>
      </c>
      <c r="C6202">
        <v>80208677</v>
      </c>
      <c r="D6202">
        <v>71313</v>
      </c>
    </row>
    <row r="6203" spans="1:4" x14ac:dyDescent="0.25">
      <c r="A6203" t="str">
        <f>T("   851780")</f>
        <v xml:space="preserve">   851780</v>
      </c>
      <c r="B6203" t="s">
        <v>453</v>
      </c>
      <c r="C6203">
        <v>81176484</v>
      </c>
      <c r="D6203">
        <v>85</v>
      </c>
    </row>
    <row r="6204" spans="1:4" x14ac:dyDescent="0.25">
      <c r="A6204" t="str">
        <f>T("   851790")</f>
        <v xml:space="preserve">   851790</v>
      </c>
      <c r="B6204" t="s">
        <v>454</v>
      </c>
      <c r="C6204">
        <v>1137299003</v>
      </c>
      <c r="D6204">
        <v>35656</v>
      </c>
    </row>
    <row r="6205" spans="1:4" x14ac:dyDescent="0.25">
      <c r="A6205" t="str">
        <f>T("IN")</f>
        <v>IN</v>
      </c>
      <c r="B6205" t="str">
        <f>T("Inde")</f>
        <v>Inde</v>
      </c>
    </row>
    <row r="6206" spans="1:4" x14ac:dyDescent="0.25">
      <c r="A6206" t="str">
        <f>T("   ZZ_Total_Produit_SH6")</f>
        <v xml:space="preserve">   ZZ_Total_Produit_SH6</v>
      </c>
      <c r="B6206" t="str">
        <f>T("   ZZ_Total_Produit_SH6")</f>
        <v xml:space="preserve">   ZZ_Total_Produit_SH6</v>
      </c>
      <c r="C6206">
        <v>11952255159.461</v>
      </c>
      <c r="D6206">
        <v>24135665.34</v>
      </c>
    </row>
    <row r="6207" spans="1:4" x14ac:dyDescent="0.25">
      <c r="A6207" t="str">
        <f>T("   020629")</f>
        <v xml:space="preserve">   020629</v>
      </c>
      <c r="B6207" t="str">
        <f>T("   Abats comestibles de bovins, congelés (à l'excl. des langues et des foies)")</f>
        <v xml:space="preserve">   Abats comestibles de bovins, congelés (à l'excl. des langues et des foies)</v>
      </c>
      <c r="C6207">
        <v>87042376</v>
      </c>
      <c r="D6207">
        <v>140000</v>
      </c>
    </row>
    <row r="6208" spans="1:4" x14ac:dyDescent="0.25">
      <c r="A6208" t="str">
        <f>T("   030219")</f>
        <v xml:space="preserve">   030219</v>
      </c>
      <c r="B6208" t="str">
        <f>T("   Salmonidés, frais ou réfrigérés (à l'excl. des truites et des saumons du Pacifique, de l'Atlantique et du Danube)")</f>
        <v xml:space="preserve">   Salmonidés, frais ou réfrigérés (à l'excl. des truites et des saumons du Pacifique, de l'Atlantique et du Danube)</v>
      </c>
      <c r="C6208">
        <v>4361478</v>
      </c>
      <c r="D6208">
        <v>24920</v>
      </c>
    </row>
    <row r="6209" spans="1:4" x14ac:dyDescent="0.25">
      <c r="A6209" t="str">
        <f>T("   030379")</f>
        <v xml:space="preserve">   030379</v>
      </c>
      <c r="B6209" t="s">
        <v>17</v>
      </c>
      <c r="C6209">
        <v>26122295</v>
      </c>
      <c r="D6209">
        <v>132080</v>
      </c>
    </row>
    <row r="6210" spans="1:4" x14ac:dyDescent="0.25">
      <c r="A6210" t="str">
        <f>T("   040210")</f>
        <v xml:space="preserve">   040210</v>
      </c>
      <c r="B6210"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6210">
        <v>1231786</v>
      </c>
      <c r="D6210">
        <v>2422</v>
      </c>
    </row>
    <row r="6211" spans="1:4" x14ac:dyDescent="0.25">
      <c r="A6211" t="str">
        <f>T("   090240")</f>
        <v xml:space="preserve">   090240</v>
      </c>
      <c r="B6211" t="s">
        <v>25</v>
      </c>
      <c r="C6211">
        <v>851805</v>
      </c>
      <c r="D6211">
        <v>592</v>
      </c>
    </row>
    <row r="6212" spans="1:4" x14ac:dyDescent="0.25">
      <c r="A6212" t="str">
        <f>T("   091099")</f>
        <v xml:space="preserve">   091099</v>
      </c>
      <c r="B6212" t="s">
        <v>26</v>
      </c>
      <c r="C6212">
        <v>225343</v>
      </c>
      <c r="D6212">
        <v>1641</v>
      </c>
    </row>
    <row r="6213" spans="1:4" x14ac:dyDescent="0.25">
      <c r="A6213" t="str">
        <f>T("   100510")</f>
        <v xml:space="preserve">   100510</v>
      </c>
      <c r="B6213" t="str">
        <f>T("   Maïs de semence")</f>
        <v xml:space="preserve">   Maïs de semence</v>
      </c>
      <c r="C6213">
        <v>354521</v>
      </c>
      <c r="D6213">
        <v>180</v>
      </c>
    </row>
    <row r="6214" spans="1:4" x14ac:dyDescent="0.25">
      <c r="A6214" t="str">
        <f>T("   100610")</f>
        <v xml:space="preserve">   100610</v>
      </c>
      <c r="B6214" t="str">
        <f>T("   Riz en paille [riz paddy]")</f>
        <v xml:space="preserve">   Riz en paille [riz paddy]</v>
      </c>
      <c r="C6214">
        <v>79140</v>
      </c>
      <c r="D6214">
        <v>147</v>
      </c>
    </row>
    <row r="6215" spans="1:4" x14ac:dyDescent="0.25">
      <c r="A6215" t="str">
        <f>T("   100630")</f>
        <v xml:space="preserve">   100630</v>
      </c>
      <c r="B6215" t="str">
        <f>T("   Riz semi-blanchi ou blanchi, même poli ou glacé")</f>
        <v xml:space="preserve">   Riz semi-blanchi ou blanchi, même poli ou glacé</v>
      </c>
      <c r="C6215">
        <v>2185002610.2600002</v>
      </c>
      <c r="D6215">
        <v>7868833</v>
      </c>
    </row>
    <row r="6216" spans="1:4" x14ac:dyDescent="0.25">
      <c r="A6216" t="str">
        <f>T("   110100")</f>
        <v xml:space="preserve">   110100</v>
      </c>
      <c r="B6216" t="str">
        <f>T("   Farines de froment [blé] ou de méteil")</f>
        <v xml:space="preserve">   Farines de froment [blé] ou de méteil</v>
      </c>
      <c r="C6216">
        <v>1526323.9669999999</v>
      </c>
      <c r="D6216">
        <v>3481</v>
      </c>
    </row>
    <row r="6217" spans="1:4" x14ac:dyDescent="0.25">
      <c r="A6217" t="str">
        <f>T("   120100")</f>
        <v xml:space="preserve">   120100</v>
      </c>
      <c r="B6217" t="str">
        <f>T("   Fèves de soja, même concassées")</f>
        <v xml:space="preserve">   Fèves de soja, même concassées</v>
      </c>
      <c r="C6217">
        <v>11901302</v>
      </c>
      <c r="D6217">
        <v>20116</v>
      </c>
    </row>
    <row r="6218" spans="1:4" x14ac:dyDescent="0.25">
      <c r="A6218" t="str">
        <f>T("   130190")</f>
        <v xml:space="preserve">   130190</v>
      </c>
      <c r="B6218" t="str">
        <f>T("   Gommes, résines, gommes-résines, baumes et autres oléorésines, naturelles (à l'excl. de la gomme arabique)")</f>
        <v xml:space="preserve">   Gommes, résines, gommes-résines, baumes et autres oléorésines, naturelles (à l'excl. de la gomme arabique)</v>
      </c>
      <c r="C6218">
        <v>65192</v>
      </c>
      <c r="D6218">
        <v>46</v>
      </c>
    </row>
    <row r="6219" spans="1:4" x14ac:dyDescent="0.25">
      <c r="A6219" t="str">
        <f>T("   151190")</f>
        <v xml:space="preserve">   151190</v>
      </c>
      <c r="B6219" t="str">
        <f>T("   Huile de palme et ses fractions, même raffinées, mais non chimiquement modifiées (à l'excl. de l'huile de palme brute)")</f>
        <v xml:space="preserve">   Huile de palme et ses fractions, même raffinées, mais non chimiquement modifiées (à l'excl. de l'huile de palme brute)</v>
      </c>
      <c r="C6219">
        <v>106483471.92299999</v>
      </c>
      <c r="D6219">
        <v>285433</v>
      </c>
    </row>
    <row r="6220" spans="1:4" x14ac:dyDescent="0.25">
      <c r="A6220" t="str">
        <f>T("   151710")</f>
        <v xml:space="preserve">   151710</v>
      </c>
      <c r="B6220" t="str">
        <f>T("   Margarine (à l'excl. de la margarine liquide)")</f>
        <v xml:space="preserve">   Margarine (à l'excl. de la margarine liquide)</v>
      </c>
      <c r="C6220">
        <v>11561922</v>
      </c>
      <c r="D6220">
        <v>39273</v>
      </c>
    </row>
    <row r="6221" spans="1:4" x14ac:dyDescent="0.25">
      <c r="A6221" t="str">
        <f>T("   170199")</f>
        <v xml:space="preserve">   170199</v>
      </c>
      <c r="B6221"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6221">
        <v>237687050.31099999</v>
      </c>
      <c r="D6221">
        <v>1000000</v>
      </c>
    </row>
    <row r="6222" spans="1:4" x14ac:dyDescent="0.25">
      <c r="A6222" t="str">
        <f>T("   170490")</f>
        <v xml:space="preserve">   170490</v>
      </c>
      <c r="B6222" t="str">
        <f>T("   Sucreries sans cacao, y.c. le chocolat blanc (à l'excl. des gommes à mâcher)")</f>
        <v xml:space="preserve">   Sucreries sans cacao, y.c. le chocolat blanc (à l'excl. des gommes à mâcher)</v>
      </c>
      <c r="C6222">
        <v>307761195</v>
      </c>
      <c r="D6222">
        <v>1053141</v>
      </c>
    </row>
    <row r="6223" spans="1:4" x14ac:dyDescent="0.25">
      <c r="A6223" t="str">
        <f>T("   190120")</f>
        <v xml:space="preserve">   190120</v>
      </c>
      <c r="B6223" t="s">
        <v>49</v>
      </c>
      <c r="C6223">
        <v>107692</v>
      </c>
      <c r="D6223">
        <v>200</v>
      </c>
    </row>
    <row r="6224" spans="1:4" x14ac:dyDescent="0.25">
      <c r="A6224" t="str">
        <f>T("   190230")</f>
        <v xml:space="preserve">   190230</v>
      </c>
      <c r="B6224" t="str">
        <f>T("   Pâtes alimentaires, cuites ou autrement préparées (à l'excl. des pâtes alimentaires farcies)")</f>
        <v xml:space="preserve">   Pâtes alimentaires, cuites ou autrement préparées (à l'excl. des pâtes alimentaires farcies)</v>
      </c>
      <c r="C6224">
        <v>2648548</v>
      </c>
      <c r="D6224">
        <v>9800</v>
      </c>
    </row>
    <row r="6225" spans="1:4" x14ac:dyDescent="0.25">
      <c r="A6225" t="str">
        <f>T("   190420")</f>
        <v xml:space="preserve">   190420</v>
      </c>
      <c r="B6225" t="str">
        <f>T("   PRÉPARATIONS ALIMENTAIRES OBTENUES À PARTIR DE FLOCONS DE CÉRÉALES NON-GRILLÉS OU DE MÉLANGES DE FLOCONS DE CÉRÉALES NON-GRILLÉS ET DE FLOCONS DE CÉRÉALES GRILLÉS OU DE CÉRÉALES SOUFFLÉS")</f>
        <v xml:space="preserve">   PRÉPARATIONS ALIMENTAIRES OBTENUES À PARTIR DE FLOCONS DE CÉRÉALES NON-GRILLÉS OU DE MÉLANGES DE FLOCONS DE CÉRÉALES NON-GRILLÉS ET DE FLOCONS DE CÉRÉALES GRILLÉS OU DE CÉRÉALES SOUFFLÉS</v>
      </c>
      <c r="C6225">
        <v>607859</v>
      </c>
      <c r="D6225">
        <v>2040</v>
      </c>
    </row>
    <row r="6226" spans="1:4" x14ac:dyDescent="0.25">
      <c r="A6226" t="str">
        <f>T("   190531")</f>
        <v xml:space="preserve">   190531</v>
      </c>
      <c r="B6226" t="str">
        <f>T("   Biscuits additionnés d'édulcorants")</f>
        <v xml:space="preserve">   Biscuits additionnés d'édulcorants</v>
      </c>
      <c r="C6226">
        <v>272234894</v>
      </c>
      <c r="D6226">
        <v>976008</v>
      </c>
    </row>
    <row r="6227" spans="1:4" x14ac:dyDescent="0.25">
      <c r="A6227" t="str">
        <f>T("   190590")</f>
        <v xml:space="preserve">   190590</v>
      </c>
      <c r="B6227" t="s">
        <v>52</v>
      </c>
      <c r="C6227">
        <v>18686108</v>
      </c>
      <c r="D6227">
        <v>69105</v>
      </c>
    </row>
    <row r="6228" spans="1:4" x14ac:dyDescent="0.25">
      <c r="A6228" t="str">
        <f>T("   200290")</f>
        <v xml:space="preserve">   200290</v>
      </c>
      <c r="B6228"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6228">
        <v>11652998</v>
      </c>
      <c r="D6228">
        <v>44544</v>
      </c>
    </row>
    <row r="6229" spans="1:4" x14ac:dyDescent="0.25">
      <c r="A6229" t="str">
        <f>T("   200799")</f>
        <v xml:space="preserve">   200799</v>
      </c>
      <c r="B6229" t="s">
        <v>55</v>
      </c>
      <c r="C6229">
        <v>85689</v>
      </c>
      <c r="D6229">
        <v>369</v>
      </c>
    </row>
    <row r="6230" spans="1:4" x14ac:dyDescent="0.25">
      <c r="A6230" t="str">
        <f>T("   210130")</f>
        <v xml:space="preserve">   210130</v>
      </c>
      <c r="B6230" t="str">
        <f>T("   Chicorée torréfiée et autres succédanés torréfiés du café et leurs extraits, essences et concentrés")</f>
        <v xml:space="preserve">   Chicorée torréfiée et autres succédanés torréfiés du café et leurs extraits, essences et concentrés</v>
      </c>
      <c r="C6230">
        <v>69985</v>
      </c>
      <c r="D6230">
        <v>30</v>
      </c>
    </row>
    <row r="6231" spans="1:4" x14ac:dyDescent="0.25">
      <c r="A6231" t="str">
        <f>T("   210320")</f>
        <v xml:space="preserve">   210320</v>
      </c>
      <c r="B6231" t="str">
        <f>T("   Tomato ketchup et autres sauces tomates")</f>
        <v xml:space="preserve">   Tomato ketchup et autres sauces tomates</v>
      </c>
      <c r="C6231">
        <v>477989</v>
      </c>
      <c r="D6231">
        <v>2039</v>
      </c>
    </row>
    <row r="6232" spans="1:4" x14ac:dyDescent="0.25">
      <c r="A6232" t="str">
        <f>T("   210410")</f>
        <v xml:space="preserve">   210410</v>
      </c>
      <c r="B6232" t="str">
        <f>T("   Préparations pour soupes, potages ou bouillons; soupes, potages ou bouillons préparés")</f>
        <v xml:space="preserve">   Préparations pour soupes, potages ou bouillons; soupes, potages ou bouillons préparés</v>
      </c>
      <c r="C6232">
        <v>774032</v>
      </c>
      <c r="D6232">
        <v>2403</v>
      </c>
    </row>
    <row r="6233" spans="1:4" x14ac:dyDescent="0.25">
      <c r="A6233" t="str">
        <f>T("   210610")</f>
        <v xml:space="preserve">   210610</v>
      </c>
      <c r="B6233" t="str">
        <f>T("   Concentrats de protéines et substances protéiques texturées")</f>
        <v xml:space="preserve">   Concentrats de protéines et substances protéiques texturées</v>
      </c>
      <c r="C6233">
        <v>416076</v>
      </c>
      <c r="D6233">
        <v>1260</v>
      </c>
    </row>
    <row r="6234" spans="1:4" x14ac:dyDescent="0.25">
      <c r="A6234" t="str">
        <f>T("   220190")</f>
        <v xml:space="preserve">   220190</v>
      </c>
      <c r="B6234"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6234">
        <v>1166953</v>
      </c>
      <c r="D6234">
        <v>3749</v>
      </c>
    </row>
    <row r="6235" spans="1:4" x14ac:dyDescent="0.25">
      <c r="A6235" t="str">
        <f>T("   220210")</f>
        <v xml:space="preserve">   220210</v>
      </c>
      <c r="B6235"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6235">
        <v>771754</v>
      </c>
      <c r="D6235">
        <v>536</v>
      </c>
    </row>
    <row r="6236" spans="1:4" x14ac:dyDescent="0.25">
      <c r="A6236" t="str">
        <f>T("   220290")</f>
        <v xml:space="preserve">   220290</v>
      </c>
      <c r="B6236" t="str">
        <f>T("   BOISSONS NON-ALCOOLIQUES (À L'EXCL. DES EAUX, DES JUS DE FRUITS OU DE LÉGUMES AINSI QUE DU LAIT)")</f>
        <v xml:space="preserve">   BOISSONS NON-ALCOOLIQUES (À L'EXCL. DES EAUX, DES JUS DE FRUITS OU DE LÉGUMES AINSI QUE DU LAIT)</v>
      </c>
      <c r="C6236">
        <v>92380</v>
      </c>
      <c r="D6236">
        <v>398</v>
      </c>
    </row>
    <row r="6237" spans="1:4" x14ac:dyDescent="0.25">
      <c r="A6237" t="str">
        <f>T("   220421")</f>
        <v xml:space="preserve">   220421</v>
      </c>
      <c r="B6237"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6237">
        <v>12475985</v>
      </c>
      <c r="D6237">
        <v>17953</v>
      </c>
    </row>
    <row r="6238" spans="1:4" x14ac:dyDescent="0.25">
      <c r="A6238" t="str">
        <f>T("   220710")</f>
        <v xml:space="preserve">   220710</v>
      </c>
      <c r="B6238" t="str">
        <f>T("   Alcool éthylique non dénaturé d'un titre alcoométrique volumique &gt;= 80% vol")</f>
        <v xml:space="preserve">   Alcool éthylique non dénaturé d'un titre alcoométrique volumique &gt;= 80% vol</v>
      </c>
      <c r="C6238">
        <v>14005060</v>
      </c>
      <c r="D6238">
        <v>67716</v>
      </c>
    </row>
    <row r="6239" spans="1:4" x14ac:dyDescent="0.25">
      <c r="A6239" t="str">
        <f>T("   220830")</f>
        <v xml:space="preserve">   220830</v>
      </c>
      <c r="B6239" t="str">
        <f>T("   Whiskies")</f>
        <v xml:space="preserve">   Whiskies</v>
      </c>
      <c r="C6239">
        <v>83930594</v>
      </c>
      <c r="D6239">
        <v>217472</v>
      </c>
    </row>
    <row r="6240" spans="1:4" x14ac:dyDescent="0.25">
      <c r="A6240" t="str">
        <f>T("   220840")</f>
        <v xml:space="preserve">   220840</v>
      </c>
      <c r="B6240" t="str">
        <f>T("   RHUM ET AUTRES EAUX-DE-VIE PROVENANT DE LA DISTILLATION, APRÈS FERMENTATION, DE PRODUITS DE CANNES À SUCRE")</f>
        <v xml:space="preserve">   RHUM ET AUTRES EAUX-DE-VIE PROVENANT DE LA DISTILLATION, APRÈS FERMENTATION, DE PRODUITS DE CANNES À SUCRE</v>
      </c>
      <c r="C6240">
        <v>2972929</v>
      </c>
      <c r="D6240">
        <v>11440</v>
      </c>
    </row>
    <row r="6241" spans="1:4" x14ac:dyDescent="0.25">
      <c r="A6241" t="str">
        <f>T("   230800")</f>
        <v xml:space="preserve">   230800</v>
      </c>
      <c r="B6241" t="str">
        <f>T("   Glands de chêne, marrons d'Inde, marcs de fruits et autres matières, déchets, résidus et sous-produits végétaux, même agglomérés sous forme de pellets, des types utilisés pour l'alimentation des animaux, n.d.a.")</f>
        <v xml:space="preserve">   Glands de chêne, marrons d'Inde, marcs de fruits et autres matières, déchets, résidus et sous-produits végétaux, même agglomérés sous forme de pellets, des types utilisés pour l'alimentation des animaux, n.d.a.</v>
      </c>
      <c r="C6241">
        <v>373322901</v>
      </c>
      <c r="D6241">
        <v>1517235</v>
      </c>
    </row>
    <row r="6242" spans="1:4" x14ac:dyDescent="0.25">
      <c r="A6242" t="str">
        <f>T("   240220")</f>
        <v xml:space="preserve">   240220</v>
      </c>
      <c r="B6242" t="str">
        <f>T("   Cigarettes contenant du tabac")</f>
        <v xml:space="preserve">   Cigarettes contenant du tabac</v>
      </c>
      <c r="C6242">
        <v>1000000</v>
      </c>
      <c r="D6242">
        <v>15800</v>
      </c>
    </row>
    <row r="6243" spans="1:4" x14ac:dyDescent="0.25">
      <c r="A6243" t="str">
        <f>T("   240399")</f>
        <v xml:space="preserve">   240399</v>
      </c>
      <c r="B6243" t="s">
        <v>64</v>
      </c>
      <c r="C6243">
        <v>1685338</v>
      </c>
      <c r="D6243">
        <v>835</v>
      </c>
    </row>
    <row r="6244" spans="1:4" x14ac:dyDescent="0.25">
      <c r="A6244" t="str">
        <f>T("   250100")</f>
        <v xml:space="preserve">   250100</v>
      </c>
      <c r="B6244" t="s">
        <v>65</v>
      </c>
      <c r="C6244">
        <v>42882740</v>
      </c>
      <c r="D6244">
        <v>636580</v>
      </c>
    </row>
    <row r="6245" spans="1:4" x14ac:dyDescent="0.25">
      <c r="A6245" t="str">
        <f>T("   251320")</f>
        <v xml:space="preserve">   251320</v>
      </c>
      <c r="B6245" t="str">
        <f>T("   EMERI, CORINDON NATUREL, GRENAT NATUREL ET AUTRES ABRASIFS NATURELS, MÊME TRAITÉS THERMIQUEMENT")</f>
        <v xml:space="preserve">   EMERI, CORINDON NATUREL, GRENAT NATUREL ET AUTRES ABRASIFS NATURELS, MÊME TRAITÉS THERMIQUEMENT</v>
      </c>
      <c r="C6245">
        <v>236099</v>
      </c>
      <c r="D6245">
        <v>194</v>
      </c>
    </row>
    <row r="6246" spans="1:4" x14ac:dyDescent="0.25">
      <c r="A6246" t="str">
        <f>T("   271019")</f>
        <v xml:space="preserve">   271019</v>
      </c>
      <c r="B6246" t="str">
        <f>T("   Huiles moyennes et préparations, de pétrole ou de minéraux bitumineux, n.d.a.")</f>
        <v xml:space="preserve">   Huiles moyennes et préparations, de pétrole ou de minéraux bitumineux, n.d.a.</v>
      </c>
      <c r="C6246">
        <v>35019399</v>
      </c>
      <c r="D6246">
        <v>102011.68</v>
      </c>
    </row>
    <row r="6247" spans="1:4" x14ac:dyDescent="0.25">
      <c r="A6247" t="str">
        <f>T("   280610")</f>
        <v xml:space="preserve">   280610</v>
      </c>
      <c r="B6247" t="str">
        <f>T("   Chlorure d'hydrogène [acide chlorhydrique]")</f>
        <v xml:space="preserve">   Chlorure d'hydrogène [acide chlorhydrique]</v>
      </c>
      <c r="C6247">
        <v>2329641</v>
      </c>
      <c r="D6247">
        <v>22572</v>
      </c>
    </row>
    <row r="6248" spans="1:4" x14ac:dyDescent="0.25">
      <c r="A6248" t="str">
        <f>T("   300210")</f>
        <v xml:space="preserve">   300210</v>
      </c>
      <c r="B6248" t="str">
        <f>T("   Antisérums, autres fractions du sang, produits immunologiques modifiés, même obtenus par voie biotechnologique")</f>
        <v xml:space="preserve">   Antisérums, autres fractions du sang, produits immunologiques modifiés, même obtenus par voie biotechnologique</v>
      </c>
      <c r="C6248">
        <v>5176980</v>
      </c>
      <c r="D6248">
        <v>70</v>
      </c>
    </row>
    <row r="6249" spans="1:4" x14ac:dyDescent="0.25">
      <c r="A6249" t="str">
        <f>T("   300220")</f>
        <v xml:space="preserve">   300220</v>
      </c>
      <c r="B6249" t="str">
        <f>T("   Vaccins pour la médecine humaine")</f>
        <v xml:space="preserve">   Vaccins pour la médecine humaine</v>
      </c>
      <c r="C6249">
        <v>20947595</v>
      </c>
      <c r="D6249">
        <v>122</v>
      </c>
    </row>
    <row r="6250" spans="1:4" x14ac:dyDescent="0.25">
      <c r="A6250" t="str">
        <f>T("   300390")</f>
        <v xml:space="preserve">   300390</v>
      </c>
      <c r="B6250" t="s">
        <v>74</v>
      </c>
      <c r="C6250">
        <v>16496833</v>
      </c>
      <c r="D6250">
        <v>27617</v>
      </c>
    </row>
    <row r="6251" spans="1:4" x14ac:dyDescent="0.25">
      <c r="A6251" t="str">
        <f>T("   300410")</f>
        <v xml:space="preserve">   300410</v>
      </c>
      <c r="B6251" t="s">
        <v>75</v>
      </c>
      <c r="C6251">
        <v>28337471</v>
      </c>
      <c r="D6251">
        <v>4691</v>
      </c>
    </row>
    <row r="6252" spans="1:4" x14ac:dyDescent="0.25">
      <c r="A6252" t="str">
        <f>T("   300439")</f>
        <v xml:space="preserve">   300439</v>
      </c>
      <c r="B6252" t="s">
        <v>77</v>
      </c>
      <c r="C6252">
        <v>140432647</v>
      </c>
      <c r="D6252">
        <v>2184</v>
      </c>
    </row>
    <row r="6253" spans="1:4" x14ac:dyDescent="0.25">
      <c r="A6253" t="str">
        <f>T("   300450")</f>
        <v xml:space="preserve">   300450</v>
      </c>
      <c r="B6253" t="s">
        <v>78</v>
      </c>
      <c r="C6253">
        <v>127902183</v>
      </c>
      <c r="D6253">
        <v>43017</v>
      </c>
    </row>
    <row r="6254" spans="1:4" x14ac:dyDescent="0.25">
      <c r="A6254" t="str">
        <f>T("   300490")</f>
        <v xml:space="preserve">   300490</v>
      </c>
      <c r="B6254" t="s">
        <v>79</v>
      </c>
      <c r="C6254">
        <v>2511844891</v>
      </c>
      <c r="D6254">
        <v>223075.88</v>
      </c>
    </row>
    <row r="6255" spans="1:4" x14ac:dyDescent="0.25">
      <c r="A6255" t="str">
        <f>T("   300610")</f>
        <v xml:space="preserve">   300610</v>
      </c>
      <c r="B6255" t="s">
        <v>81</v>
      </c>
      <c r="C6255">
        <v>20662740</v>
      </c>
      <c r="D6255">
        <v>4515</v>
      </c>
    </row>
    <row r="6256" spans="1:4" x14ac:dyDescent="0.25">
      <c r="A6256" t="str">
        <f>T("   300630")</f>
        <v xml:space="preserve">   300630</v>
      </c>
      <c r="B6256" t="str">
        <f>T("   Préparations opacifiantes pour examens radiographiques; réactifs de diagnostic conçus pour être employés sur le patient")</f>
        <v xml:space="preserve">   Préparations opacifiantes pour examens radiographiques; réactifs de diagnostic conçus pour être employés sur le patient</v>
      </c>
      <c r="C6256">
        <v>9328419</v>
      </c>
      <c r="D6256">
        <v>435</v>
      </c>
    </row>
    <row r="6257" spans="1:4" x14ac:dyDescent="0.25">
      <c r="A6257" t="str">
        <f>T("   300660")</f>
        <v xml:space="preserve">   300660</v>
      </c>
      <c r="B6257" t="str">
        <f>T("   Préparations chimiques contraceptives à base d'hormones, de prostaglandines, de thromboxanes, de leucotriènes, de leurs dérivés et analogues structurels ou de spermicides")</f>
        <v xml:space="preserve">   Préparations chimiques contraceptives à base d'hormones, de prostaglandines, de thromboxanes, de leucotriènes, de leurs dérivés et analogues structurels ou de spermicides</v>
      </c>
      <c r="C6257">
        <v>2900067</v>
      </c>
      <c r="D6257">
        <v>93</v>
      </c>
    </row>
    <row r="6258" spans="1:4" x14ac:dyDescent="0.25">
      <c r="A6258" t="str">
        <f>T("   330210")</f>
        <v xml:space="preserve">   330210</v>
      </c>
      <c r="B6258"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6258">
        <v>551252</v>
      </c>
      <c r="D6258">
        <v>315</v>
      </c>
    </row>
    <row r="6259" spans="1:4" x14ac:dyDescent="0.25">
      <c r="A6259" t="str">
        <f>T("   330499")</f>
        <v xml:space="preserve">   330499</v>
      </c>
      <c r="B6259" t="s">
        <v>97</v>
      </c>
      <c r="C6259">
        <v>3382255</v>
      </c>
      <c r="D6259">
        <v>14303</v>
      </c>
    </row>
    <row r="6260" spans="1:4" x14ac:dyDescent="0.25">
      <c r="A6260" t="str">
        <f>T("   330590")</f>
        <v xml:space="preserve">   330590</v>
      </c>
      <c r="B6260"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6260">
        <v>6769860</v>
      </c>
      <c r="D6260">
        <v>13846</v>
      </c>
    </row>
    <row r="6261" spans="1:4" x14ac:dyDescent="0.25">
      <c r="A6261" t="str">
        <f>T("   330741")</f>
        <v xml:space="preserve">   330741</v>
      </c>
      <c r="B6261" t="str">
        <f>T("   'Agarbatti' et autres préparations odoriférantes agissant par combustion")</f>
        <v xml:space="preserve">   'Agarbatti' et autres préparations odoriférantes agissant par combustion</v>
      </c>
      <c r="C6261">
        <v>229609</v>
      </c>
      <c r="D6261">
        <v>160</v>
      </c>
    </row>
    <row r="6262" spans="1:4" x14ac:dyDescent="0.25">
      <c r="A6262" t="str">
        <f>T("   340119")</f>
        <v xml:space="preserve">   340119</v>
      </c>
      <c r="B6262" t="s">
        <v>99</v>
      </c>
      <c r="C6262">
        <v>14151491</v>
      </c>
      <c r="D6262">
        <v>21375</v>
      </c>
    </row>
    <row r="6263" spans="1:4" x14ac:dyDescent="0.25">
      <c r="A6263" t="str">
        <f>T("   360500")</f>
        <v xml:space="preserve">   360500</v>
      </c>
      <c r="B6263" t="str">
        <f>T("   Allumettes (autres que les articles de pyrotechnie du n° 3604)")</f>
        <v xml:space="preserve">   Allumettes (autres que les articles de pyrotechnie du n° 3604)</v>
      </c>
      <c r="C6263">
        <v>10694772</v>
      </c>
      <c r="D6263">
        <v>18975</v>
      </c>
    </row>
    <row r="6264" spans="1:4" x14ac:dyDescent="0.25">
      <c r="A6264" t="str">
        <f>T("   381230")</f>
        <v xml:space="preserve">   381230</v>
      </c>
      <c r="B6264" t="str">
        <f>T("   Préparations antioxydantes et autres stabilisateurs composites pour caoutchouc ou matières plastiques")</f>
        <v xml:space="preserve">   Préparations antioxydantes et autres stabilisateurs composites pour caoutchouc ou matières plastiques</v>
      </c>
      <c r="C6264">
        <v>7040391</v>
      </c>
      <c r="D6264">
        <v>4211</v>
      </c>
    </row>
    <row r="6265" spans="1:4" x14ac:dyDescent="0.25">
      <c r="A6265" t="str">
        <f>T("   381900")</f>
        <v xml:space="preserve">   381900</v>
      </c>
      <c r="B6265"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6265">
        <v>119550</v>
      </c>
      <c r="D6265">
        <v>1081.3599999999999</v>
      </c>
    </row>
    <row r="6266" spans="1:4" x14ac:dyDescent="0.25">
      <c r="A6266" t="str">
        <f>T("   382200")</f>
        <v xml:space="preserve">   382200</v>
      </c>
      <c r="B6266" t="s">
        <v>122</v>
      </c>
      <c r="C6266">
        <v>16912840</v>
      </c>
      <c r="D6266">
        <v>318</v>
      </c>
    </row>
    <row r="6267" spans="1:4" x14ac:dyDescent="0.25">
      <c r="A6267" t="str">
        <f>T("   391729")</f>
        <v xml:space="preserve">   391729</v>
      </c>
      <c r="B6267"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6267">
        <v>117440</v>
      </c>
      <c r="D6267">
        <v>8</v>
      </c>
    </row>
    <row r="6268" spans="1:4" x14ac:dyDescent="0.25">
      <c r="A6268" t="str">
        <f>T("   391740")</f>
        <v xml:space="preserve">   391740</v>
      </c>
      <c r="B6268" t="str">
        <f>T("   Accessoires pour tubes ou tuyaux [joints, coudes, raccords, par exemple], en matières plastiques")</f>
        <v xml:space="preserve">   Accessoires pour tubes ou tuyaux [joints, coudes, raccords, par exemple], en matières plastiques</v>
      </c>
      <c r="C6268">
        <v>28585653</v>
      </c>
      <c r="D6268">
        <v>10697</v>
      </c>
    </row>
    <row r="6269" spans="1:4" x14ac:dyDescent="0.25">
      <c r="A6269" t="str">
        <f>T("   391990")</f>
        <v xml:space="preserve">   391990</v>
      </c>
      <c r="B6269" t="s">
        <v>127</v>
      </c>
      <c r="C6269">
        <v>1300000</v>
      </c>
      <c r="D6269">
        <v>8424</v>
      </c>
    </row>
    <row r="6270" spans="1:4" x14ac:dyDescent="0.25">
      <c r="A6270" t="str">
        <f>T("   392220")</f>
        <v xml:space="preserve">   392220</v>
      </c>
      <c r="B6270" t="str">
        <f>T("   Sièges et couvercles de cuvettes d'aisance, en matières plastiques")</f>
        <v xml:space="preserve">   Sièges et couvercles de cuvettes d'aisance, en matières plastiques</v>
      </c>
      <c r="C6270">
        <v>12942</v>
      </c>
      <c r="D6270">
        <v>46</v>
      </c>
    </row>
    <row r="6271" spans="1:4" x14ac:dyDescent="0.25">
      <c r="A6271" t="str">
        <f>T("   392330")</f>
        <v xml:space="preserve">   392330</v>
      </c>
      <c r="B6271" t="str">
        <f>T("   Bonbonnes, bouteilles, flacons et articles simil. pour le transport ou l'emballage, en matières plastiques")</f>
        <v xml:space="preserve">   Bonbonnes, bouteilles, flacons et articles simil. pour le transport ou l'emballage, en matières plastiques</v>
      </c>
      <c r="C6271">
        <v>167293</v>
      </c>
      <c r="D6271">
        <v>1110</v>
      </c>
    </row>
    <row r="6272" spans="1:4" x14ac:dyDescent="0.25">
      <c r="A6272" t="str">
        <f>T("   392350")</f>
        <v xml:space="preserve">   392350</v>
      </c>
      <c r="B6272" t="str">
        <f>T("   Bouchons, couvercles, capsules et autres dispositifs de fermeture, en matières plastiques")</f>
        <v xml:space="preserve">   Bouchons, couvercles, capsules et autres dispositifs de fermeture, en matières plastiques</v>
      </c>
      <c r="C6272">
        <v>1401141</v>
      </c>
      <c r="D6272">
        <v>4845</v>
      </c>
    </row>
    <row r="6273" spans="1:4" x14ac:dyDescent="0.25">
      <c r="A6273" t="str">
        <f>T("   392390")</f>
        <v xml:space="preserve">   392390</v>
      </c>
      <c r="B6273" t="s">
        <v>142</v>
      </c>
      <c r="C6273">
        <v>3714962</v>
      </c>
      <c r="D6273">
        <v>2075</v>
      </c>
    </row>
    <row r="6274" spans="1:4" x14ac:dyDescent="0.25">
      <c r="A6274" t="str">
        <f>T("   392410")</f>
        <v xml:space="preserve">   392410</v>
      </c>
      <c r="B6274" t="str">
        <f>T("   Vaisselle et autres articles pour le service de la table ou de la cuisine, en matières plastiques")</f>
        <v xml:space="preserve">   Vaisselle et autres articles pour le service de la table ou de la cuisine, en matières plastiques</v>
      </c>
      <c r="C6274">
        <v>16768622</v>
      </c>
      <c r="D6274">
        <v>7842</v>
      </c>
    </row>
    <row r="6275" spans="1:4" x14ac:dyDescent="0.25">
      <c r="A6275" t="str">
        <f>T("   400931")</f>
        <v xml:space="preserve">   400931</v>
      </c>
      <c r="B6275" t="str">
        <f>T("   Tubes et tuyaux en caoutchouc vulcanisé non durci, renforcés seulement à l'aide de matières textiles ou autrement associés seulement à des matières textiles, sans accessoires")</f>
        <v xml:space="preserve">   Tubes et tuyaux en caoutchouc vulcanisé non durci, renforcés seulement à l'aide de matières textiles ou autrement associés seulement à des matières textiles, sans accessoires</v>
      </c>
      <c r="C6275">
        <v>14237</v>
      </c>
      <c r="D6275">
        <v>811.02</v>
      </c>
    </row>
    <row r="6276" spans="1:4" x14ac:dyDescent="0.25">
      <c r="A6276" t="str">
        <f>T("   401019")</f>
        <v xml:space="preserve">   401019</v>
      </c>
      <c r="B6276"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6276">
        <v>876760</v>
      </c>
      <c r="D6276">
        <v>510</v>
      </c>
    </row>
    <row r="6277" spans="1:4" x14ac:dyDescent="0.25">
      <c r="A6277" t="str">
        <f>T("   401039")</f>
        <v xml:space="preserve">   401039</v>
      </c>
      <c r="B6277" t="s">
        <v>151</v>
      </c>
      <c r="C6277">
        <v>309468</v>
      </c>
      <c r="D6277">
        <v>1656.2</v>
      </c>
    </row>
    <row r="6278" spans="1:4" x14ac:dyDescent="0.25">
      <c r="A6278" t="str">
        <f>T("   401140")</f>
        <v xml:space="preserve">   401140</v>
      </c>
      <c r="B6278" t="str">
        <f>T("   Pneumatiques neufs, en caoutchouc, des types utilisés pour les motocycles")</f>
        <v xml:space="preserve">   Pneumatiques neufs, en caoutchouc, des types utilisés pour les motocycles</v>
      </c>
      <c r="C6278">
        <v>1581855</v>
      </c>
      <c r="D6278">
        <v>2095</v>
      </c>
    </row>
    <row r="6279" spans="1:4" x14ac:dyDescent="0.25">
      <c r="A6279" t="str">
        <f>T("   420229")</f>
        <v xml:space="preserve">   420229</v>
      </c>
      <c r="B6279"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279">
        <v>462411</v>
      </c>
      <c r="D6279">
        <v>1562</v>
      </c>
    </row>
    <row r="6280" spans="1:4" x14ac:dyDescent="0.25">
      <c r="A6280" t="str">
        <f>T("   441219")</f>
        <v xml:space="preserve">   441219</v>
      </c>
      <c r="B6280" t="s">
        <v>178</v>
      </c>
      <c r="C6280">
        <v>12973162</v>
      </c>
      <c r="D6280">
        <v>26000</v>
      </c>
    </row>
    <row r="6281" spans="1:4" x14ac:dyDescent="0.25">
      <c r="A6281" t="str">
        <f>T("   480255")</f>
        <v xml:space="preserve">   480255</v>
      </c>
      <c r="B6281" t="s">
        <v>187</v>
      </c>
      <c r="C6281">
        <v>121439980</v>
      </c>
      <c r="D6281">
        <v>234758</v>
      </c>
    </row>
    <row r="6282" spans="1:4" x14ac:dyDescent="0.25">
      <c r="A6282" t="str">
        <f>T("   480257")</f>
        <v xml:space="preserve">   480257</v>
      </c>
      <c r="B6282" t="s">
        <v>189</v>
      </c>
      <c r="C6282">
        <v>121411761</v>
      </c>
      <c r="D6282">
        <v>232101</v>
      </c>
    </row>
    <row r="6283" spans="1:4" x14ac:dyDescent="0.25">
      <c r="A6283" t="str">
        <f>T("   480459")</f>
        <v xml:space="preserve">   480459</v>
      </c>
      <c r="B6283" t="s">
        <v>196</v>
      </c>
      <c r="C6283">
        <v>4931141</v>
      </c>
      <c r="D6283">
        <v>14103</v>
      </c>
    </row>
    <row r="6284" spans="1:4" x14ac:dyDescent="0.25">
      <c r="A6284" t="str">
        <f>T("   481820")</f>
        <v xml:space="preserve">   481820</v>
      </c>
      <c r="B6284"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6284">
        <v>20991</v>
      </c>
      <c r="D6284">
        <v>5</v>
      </c>
    </row>
    <row r="6285" spans="1:4" x14ac:dyDescent="0.25">
      <c r="A6285" t="str">
        <f>T("   481840")</f>
        <v xml:space="preserve">   481840</v>
      </c>
      <c r="B6285"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6285">
        <v>1299998</v>
      </c>
      <c r="D6285">
        <v>7305</v>
      </c>
    </row>
    <row r="6286" spans="1:4" x14ac:dyDescent="0.25">
      <c r="A6286" t="str">
        <f>T("   481960")</f>
        <v xml:space="preserve">   481960</v>
      </c>
      <c r="B6286" t="str">
        <f>T("   Cartonnages de bureau, de magasin ou simil., rigides (à l'excl. des emballages)")</f>
        <v xml:space="preserve">   Cartonnages de bureau, de magasin ou simil., rigides (à l'excl. des emballages)</v>
      </c>
      <c r="C6286">
        <v>7760830</v>
      </c>
      <c r="D6286">
        <v>11520</v>
      </c>
    </row>
    <row r="6287" spans="1:4" x14ac:dyDescent="0.25">
      <c r="A6287" t="str">
        <f>T("   482010")</f>
        <v xml:space="preserve">   482010</v>
      </c>
      <c r="B6287"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6287">
        <v>306098</v>
      </c>
      <c r="D6287">
        <v>980</v>
      </c>
    </row>
    <row r="6288" spans="1:4" x14ac:dyDescent="0.25">
      <c r="A6288" t="str">
        <f>T("   482030")</f>
        <v xml:space="preserve">   482030</v>
      </c>
      <c r="B6288" t="str">
        <f>T("   Classeurs, reliures (autres que les couvertures pour livres), chemises et couvertures à dossiers, en papier ou en carton")</f>
        <v xml:space="preserve">   Classeurs, reliures (autres que les couvertures pour livres), chemises et couvertures à dossiers, en papier ou en carton</v>
      </c>
      <c r="C6288">
        <v>7978901</v>
      </c>
      <c r="D6288">
        <v>11130</v>
      </c>
    </row>
    <row r="6289" spans="1:4" x14ac:dyDescent="0.25">
      <c r="A6289" t="str">
        <f>T("   482190")</f>
        <v xml:space="preserve">   482190</v>
      </c>
      <c r="B6289" t="str">
        <f>T("   ÉTIQUETTES DE TOUS GENRES, EN PAPIER OU EN CARTON, NON-IMPRIMÉES")</f>
        <v xml:space="preserve">   ÉTIQUETTES DE TOUS GENRES, EN PAPIER OU EN CARTON, NON-IMPRIMÉES</v>
      </c>
      <c r="C6289">
        <v>347529</v>
      </c>
      <c r="D6289">
        <v>143</v>
      </c>
    </row>
    <row r="6290" spans="1:4" x14ac:dyDescent="0.25">
      <c r="A6290" t="str">
        <f>T("   490199")</f>
        <v xml:space="preserve">   490199</v>
      </c>
      <c r="B629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290">
        <v>4374216</v>
      </c>
      <c r="D6290">
        <v>4704.17</v>
      </c>
    </row>
    <row r="6291" spans="1:4" x14ac:dyDescent="0.25">
      <c r="A6291" t="str">
        <f>T("   490290")</f>
        <v xml:space="preserve">   490290</v>
      </c>
      <c r="B6291"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6291">
        <v>825532</v>
      </c>
      <c r="D6291">
        <v>280</v>
      </c>
    </row>
    <row r="6292" spans="1:4" x14ac:dyDescent="0.25">
      <c r="A6292" t="str">
        <f>T("   491000")</f>
        <v xml:space="preserve">   491000</v>
      </c>
      <c r="B6292" t="str">
        <f>T("   Calendriers de tous genres, imprimés, y.c. les blocs de calendriers à effeuiller")</f>
        <v xml:space="preserve">   Calendriers de tous genres, imprimés, y.c. les blocs de calendriers à effeuiller</v>
      </c>
      <c r="C6292">
        <v>926990</v>
      </c>
      <c r="D6292">
        <v>1422.28</v>
      </c>
    </row>
    <row r="6293" spans="1:4" x14ac:dyDescent="0.25">
      <c r="A6293" t="str">
        <f>T("   491110")</f>
        <v xml:space="preserve">   491110</v>
      </c>
      <c r="B6293" t="str">
        <f>T("   Imprimés publicitaires, catalogues commerciaux et simil.")</f>
        <v xml:space="preserve">   Imprimés publicitaires, catalogues commerciaux et simil.</v>
      </c>
      <c r="C6293">
        <v>305334</v>
      </c>
      <c r="D6293">
        <v>698</v>
      </c>
    </row>
    <row r="6294" spans="1:4" x14ac:dyDescent="0.25">
      <c r="A6294" t="str">
        <f>T("   491191")</f>
        <v xml:space="preserve">   491191</v>
      </c>
      <c r="B6294" t="str">
        <f>T("   Images, gravures et photographies, n.d.a.")</f>
        <v xml:space="preserve">   Images, gravures et photographies, n.d.a.</v>
      </c>
      <c r="C6294">
        <v>299299</v>
      </c>
      <c r="D6294">
        <v>437</v>
      </c>
    </row>
    <row r="6295" spans="1:4" x14ac:dyDescent="0.25">
      <c r="A6295" t="str">
        <f>T("   491199")</f>
        <v xml:space="preserve">   491199</v>
      </c>
      <c r="B6295" t="str">
        <f>T("   Imprimés, n.d.a.")</f>
        <v xml:space="preserve">   Imprimés, n.d.a.</v>
      </c>
      <c r="C6295">
        <v>95419222</v>
      </c>
      <c r="D6295">
        <v>8072</v>
      </c>
    </row>
    <row r="6296" spans="1:4" x14ac:dyDescent="0.25">
      <c r="A6296" t="str">
        <f>T("   520829")</f>
        <v xml:space="preserve">   520829</v>
      </c>
      <c r="B6296"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6296">
        <v>20000000</v>
      </c>
      <c r="D6296">
        <v>19778</v>
      </c>
    </row>
    <row r="6297" spans="1:4" x14ac:dyDescent="0.25">
      <c r="A6297" t="str">
        <f>T("   520852")</f>
        <v xml:space="preserve">   520852</v>
      </c>
      <c r="B6297" t="str">
        <f>T("   Tissus de coton, imprimés, à armure toile, contenant &gt;= 85% en poids de coton, d'un poids &gt; 100 g/m² mais &lt;= 200 g/m²")</f>
        <v xml:space="preserve">   Tissus de coton, imprimés, à armure toile, contenant &gt;= 85% en poids de coton, d'un poids &gt; 100 g/m² mais &lt;= 200 g/m²</v>
      </c>
      <c r="C6297">
        <v>225148777</v>
      </c>
      <c r="D6297">
        <v>222914</v>
      </c>
    </row>
    <row r="6298" spans="1:4" x14ac:dyDescent="0.25">
      <c r="A6298" t="str">
        <f>T("   520859")</f>
        <v xml:space="preserve">   520859</v>
      </c>
      <c r="B6298" t="str">
        <f>T("   TISSUS DE COTON, IMPRIMÉS, CONTENANT &gt;= 85% EN POIDS DE COTON, D'UN POIDS &lt;= 200 G/M² (À L'EXCL. DES TISSUS À ARMURE TOILE)")</f>
        <v xml:space="preserve">   TISSUS DE COTON, IMPRIMÉS, CONTENANT &gt;= 85% EN POIDS DE COTON, D'UN POIDS &lt;= 200 G/M² (À L'EXCL. DES TISSUS À ARMURE TOILE)</v>
      </c>
      <c r="C6298">
        <v>52308192</v>
      </c>
      <c r="D6298">
        <v>51994</v>
      </c>
    </row>
    <row r="6299" spans="1:4" x14ac:dyDescent="0.25">
      <c r="A6299" t="str">
        <f>T("   521225")</f>
        <v xml:space="preserve">   521225</v>
      </c>
      <c r="B6299" t="str">
        <f>T("   Tissus de coton, imprimés, contenant en prédominance, mais &lt; 85% en poids de coton, autres que mélangés principalement ou uniquement avec des fibres synthétiques ou artificielles, d'un poids &gt; 200 g/m²")</f>
        <v xml:space="preserve">   Tissus de coton, imprimés, contenant en prédominance, mais &lt; 85% en poids de coton, autres que mélangés principalement ou uniquement avec des fibres synthétiques ou artificielles, d'un poids &gt; 200 g/m²</v>
      </c>
      <c r="C6299">
        <v>2625000</v>
      </c>
      <c r="D6299">
        <v>1644</v>
      </c>
    </row>
    <row r="6300" spans="1:4" x14ac:dyDescent="0.25">
      <c r="A6300" t="str">
        <f>T("   551219")</f>
        <v xml:space="preserve">   551219</v>
      </c>
      <c r="B6300"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6300">
        <v>44504193</v>
      </c>
      <c r="D6300">
        <v>42696</v>
      </c>
    </row>
    <row r="6301" spans="1:4" x14ac:dyDescent="0.25">
      <c r="A6301" t="str">
        <f>T("   551529")</f>
        <v xml:space="preserve">   551529</v>
      </c>
      <c r="B6301" t="s">
        <v>232</v>
      </c>
      <c r="C6301">
        <v>600204</v>
      </c>
      <c r="D6301">
        <v>840</v>
      </c>
    </row>
    <row r="6302" spans="1:4" x14ac:dyDescent="0.25">
      <c r="A6302" t="str">
        <f>T("   570299")</f>
        <v xml:space="preserve">   570299</v>
      </c>
      <c r="B6302" t="s">
        <v>245</v>
      </c>
      <c r="C6302">
        <v>5399940</v>
      </c>
      <c r="D6302">
        <v>9667</v>
      </c>
    </row>
    <row r="6303" spans="1:4" x14ac:dyDescent="0.25">
      <c r="A6303" t="str">
        <f>T("   610910")</f>
        <v xml:space="preserve">   610910</v>
      </c>
      <c r="B6303" t="str">
        <f>T("   T-shirts et maillots de corps, en bonneterie, de coton,")</f>
        <v xml:space="preserve">   T-shirts et maillots de corps, en bonneterie, de coton,</v>
      </c>
      <c r="C6303">
        <v>950551</v>
      </c>
      <c r="D6303">
        <v>140</v>
      </c>
    </row>
    <row r="6304" spans="1:4" x14ac:dyDescent="0.25">
      <c r="A6304" t="str">
        <f>T("   620590")</f>
        <v xml:space="preserve">   620590</v>
      </c>
      <c r="B630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304">
        <v>2246920</v>
      </c>
      <c r="D6304">
        <v>1750</v>
      </c>
    </row>
    <row r="6305" spans="1:4" x14ac:dyDescent="0.25">
      <c r="A6305" t="str">
        <f>T("   620990")</f>
        <v xml:space="preserve">   620990</v>
      </c>
      <c r="B6305"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6305">
        <v>1562689</v>
      </c>
      <c r="D6305">
        <v>1280</v>
      </c>
    </row>
    <row r="6306" spans="1:4" x14ac:dyDescent="0.25">
      <c r="A6306" t="str">
        <f>T("   630510")</f>
        <v xml:space="preserve">   630510</v>
      </c>
      <c r="B6306" t="str">
        <f>T("   Sacs et sachets d'emballage de jute ou d'autres fibres textiles libériennes du n° 5303")</f>
        <v xml:space="preserve">   Sacs et sachets d'emballage de jute ou d'autres fibres textiles libériennes du n° 5303</v>
      </c>
      <c r="C6306">
        <v>192852624</v>
      </c>
      <c r="D6306">
        <v>358855</v>
      </c>
    </row>
    <row r="6307" spans="1:4" x14ac:dyDescent="0.25">
      <c r="A6307" t="str">
        <f>T("   630533")</f>
        <v xml:space="preserve">   630533</v>
      </c>
      <c r="B6307"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6307">
        <v>4690157</v>
      </c>
      <c r="D6307">
        <v>42630</v>
      </c>
    </row>
    <row r="6308" spans="1:4" x14ac:dyDescent="0.25">
      <c r="A6308" t="str">
        <f>T("   630720")</f>
        <v xml:space="preserve">   630720</v>
      </c>
      <c r="B6308" t="str">
        <f>T("   Ceintures et gilets de sauvetage en tous types de matières textiles")</f>
        <v xml:space="preserve">   Ceintures et gilets de sauvetage en tous types de matières textiles</v>
      </c>
      <c r="C6308">
        <v>564195</v>
      </c>
      <c r="D6308">
        <v>1154</v>
      </c>
    </row>
    <row r="6309" spans="1:4" x14ac:dyDescent="0.25">
      <c r="A6309" t="str">
        <f>T("   630900")</f>
        <v xml:space="preserve">   630900</v>
      </c>
      <c r="B6309" t="s">
        <v>273</v>
      </c>
      <c r="C6309">
        <v>169399943</v>
      </c>
      <c r="D6309">
        <v>337798</v>
      </c>
    </row>
    <row r="6310" spans="1:4" x14ac:dyDescent="0.25">
      <c r="A6310" t="str">
        <f>T("   650400")</f>
        <v xml:space="preserve">   650400</v>
      </c>
      <c r="B6310" t="str">
        <f>T("   Chapeaux et autres coiffures, tressés ou fabriqués par l'assemblage de bandes en toutes matières, même garnis (sauf coiffures pour animaux ou ayant le caractère de jouets ou d'articles de carnaval)")</f>
        <v xml:space="preserve">   Chapeaux et autres coiffures, tressés ou fabriqués par l'assemblage de bandes en toutes matières, même garnis (sauf coiffures pour animaux ou ayant le caractère de jouets ou d'articles de carnaval)</v>
      </c>
      <c r="C6310">
        <v>217625</v>
      </c>
      <c r="D6310">
        <v>1336</v>
      </c>
    </row>
    <row r="6311" spans="1:4" x14ac:dyDescent="0.25">
      <c r="A6311" t="str">
        <f>T("   660110")</f>
        <v xml:space="preserve">   660110</v>
      </c>
      <c r="B6311" t="str">
        <f>T("   Parasols de jardin et articles simil. (sauf tentes de plage)")</f>
        <v xml:space="preserve">   Parasols de jardin et articles simil. (sauf tentes de plage)</v>
      </c>
      <c r="C6311">
        <v>1308626</v>
      </c>
      <c r="D6311">
        <v>368</v>
      </c>
    </row>
    <row r="6312" spans="1:4" x14ac:dyDescent="0.25">
      <c r="A6312" t="str">
        <f>T("   680210")</f>
        <v xml:space="preserve">   680210</v>
      </c>
      <c r="B6312" t="s">
        <v>286</v>
      </c>
      <c r="C6312">
        <v>2548225</v>
      </c>
      <c r="D6312">
        <v>24000</v>
      </c>
    </row>
    <row r="6313" spans="1:4" x14ac:dyDescent="0.25">
      <c r="A6313" t="str">
        <f>T("   680223")</f>
        <v xml:space="preserve">   680223</v>
      </c>
      <c r="B6313" t="str">
        <f>T("   Granit et ouvrages en ces pierres, simplement taillés ou sciés, à surface plane ou unie (sauf à surface entièrement ou partiellement rabotée, poncée au papier sablé, grossièrement ou finement meulée ou polie; non du n° 6801.00.00 ou 6802.10.00)")</f>
        <v xml:space="preserve">   Granit et ouvrages en ces pierres, simplement taillés ou sciés, à surface plane ou unie (sauf à surface entièrement ou partiellement rabotée, poncée au papier sablé, grossièrement ou finement meulée ou polie; non du n° 6801.00.00 ou 6802.10.00)</v>
      </c>
      <c r="C6313">
        <v>7068975</v>
      </c>
      <c r="D6313">
        <v>54000</v>
      </c>
    </row>
    <row r="6314" spans="1:4" x14ac:dyDescent="0.25">
      <c r="A6314" t="str">
        <f>T("   680430")</f>
        <v xml:space="preserve">   680430</v>
      </c>
      <c r="B6314" t="str">
        <f>T("   Pierres à aiguiser ou à polir à la main")</f>
        <v xml:space="preserve">   Pierres à aiguiser ou à polir à la main</v>
      </c>
      <c r="C6314">
        <v>18867</v>
      </c>
      <c r="D6314">
        <v>123.7</v>
      </c>
    </row>
    <row r="6315" spans="1:4" x14ac:dyDescent="0.25">
      <c r="A6315" t="str">
        <f>T("   690510")</f>
        <v xml:space="preserve">   690510</v>
      </c>
      <c r="B6315" t="str">
        <f>T("   Tuiles")</f>
        <v xml:space="preserve">   Tuiles</v>
      </c>
      <c r="C6315">
        <v>4997703</v>
      </c>
      <c r="D6315">
        <v>49600</v>
      </c>
    </row>
    <row r="6316" spans="1:4" x14ac:dyDescent="0.25">
      <c r="A6316" t="str">
        <f>T("   690790")</f>
        <v xml:space="preserve">   690790</v>
      </c>
      <c r="B6316" t="s">
        <v>306</v>
      </c>
      <c r="C6316">
        <v>80708770</v>
      </c>
      <c r="D6316">
        <v>889606</v>
      </c>
    </row>
    <row r="6317" spans="1:4" x14ac:dyDescent="0.25">
      <c r="A6317" t="str">
        <f>T("   690890")</f>
        <v xml:space="preserve">   690890</v>
      </c>
      <c r="B6317" t="s">
        <v>307</v>
      </c>
      <c r="C6317">
        <v>193701880</v>
      </c>
      <c r="D6317">
        <v>1992214</v>
      </c>
    </row>
    <row r="6318" spans="1:4" x14ac:dyDescent="0.25">
      <c r="A6318" t="str">
        <f>T("   691010")</f>
        <v xml:space="preserve">   691010</v>
      </c>
      <c r="B6318" t="s">
        <v>309</v>
      </c>
      <c r="C6318">
        <v>18949569</v>
      </c>
      <c r="D6318">
        <v>116346</v>
      </c>
    </row>
    <row r="6319" spans="1:4" x14ac:dyDescent="0.25">
      <c r="A6319" t="str">
        <f>T("   691090")</f>
        <v xml:space="preserve">   691090</v>
      </c>
      <c r="B6319" t="s">
        <v>310</v>
      </c>
      <c r="C6319">
        <v>110825742</v>
      </c>
      <c r="D6319">
        <v>586092</v>
      </c>
    </row>
    <row r="6320" spans="1:4" x14ac:dyDescent="0.25">
      <c r="A6320" t="str">
        <f>T("   691190")</f>
        <v xml:space="preserve">   691190</v>
      </c>
      <c r="B6320" t="s">
        <v>312</v>
      </c>
      <c r="C6320">
        <v>1407690</v>
      </c>
      <c r="D6320">
        <v>7450</v>
      </c>
    </row>
    <row r="6321" spans="1:4" x14ac:dyDescent="0.25">
      <c r="A6321" t="str">
        <f>T("   691200")</f>
        <v xml:space="preserve">   691200</v>
      </c>
      <c r="B6321" t="s">
        <v>313</v>
      </c>
      <c r="C6321">
        <v>135656</v>
      </c>
      <c r="D6321">
        <v>550</v>
      </c>
    </row>
    <row r="6322" spans="1:4" x14ac:dyDescent="0.25">
      <c r="A6322" t="str">
        <f>T("   701790")</f>
        <v xml:space="preserve">   701790</v>
      </c>
      <c r="B6322" t="s">
        <v>331</v>
      </c>
      <c r="C6322">
        <v>16106160</v>
      </c>
      <c r="D6322">
        <v>199</v>
      </c>
    </row>
    <row r="6323" spans="1:4" x14ac:dyDescent="0.25">
      <c r="A6323" t="str">
        <f>T("   720917")</f>
        <v xml:space="preserve">   720917</v>
      </c>
      <c r="B6323"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6323">
        <v>98734115</v>
      </c>
      <c r="D6323">
        <v>216815</v>
      </c>
    </row>
    <row r="6324" spans="1:4" x14ac:dyDescent="0.25">
      <c r="A6324" t="str">
        <f>T("   721041")</f>
        <v xml:space="preserve">   721041</v>
      </c>
      <c r="B6324"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6324">
        <v>1324676208</v>
      </c>
      <c r="D6324">
        <v>2583848</v>
      </c>
    </row>
    <row r="6325" spans="1:4" x14ac:dyDescent="0.25">
      <c r="A6325" t="str">
        <f>T("   721049")</f>
        <v xml:space="preserve">   721049</v>
      </c>
      <c r="B6325"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6325">
        <v>48154739</v>
      </c>
      <c r="D6325">
        <v>78914</v>
      </c>
    </row>
    <row r="6326" spans="1:4" x14ac:dyDescent="0.25">
      <c r="A6326" t="str">
        <f>T("   730640")</f>
        <v xml:space="preserve">   730640</v>
      </c>
      <c r="B6326" t="s">
        <v>346</v>
      </c>
      <c r="C6326">
        <v>7758281</v>
      </c>
      <c r="D6326">
        <v>3223</v>
      </c>
    </row>
    <row r="6327" spans="1:4" x14ac:dyDescent="0.25">
      <c r="A6327" t="str">
        <f>T("   730690")</f>
        <v xml:space="preserve">   730690</v>
      </c>
      <c r="B6327"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6327">
        <v>726694</v>
      </c>
      <c r="D6327">
        <v>339</v>
      </c>
    </row>
    <row r="6328" spans="1:4" x14ac:dyDescent="0.25">
      <c r="A6328" t="str">
        <f>T("   730792")</f>
        <v xml:space="preserve">   730792</v>
      </c>
      <c r="B6328" t="str">
        <f>T("   Coudes, courbes et manchons en fer ou en aciers, filetés (autres que moulés ou en aciers inoxydables)")</f>
        <v xml:space="preserve">   Coudes, courbes et manchons en fer ou en aciers, filetés (autres que moulés ou en aciers inoxydables)</v>
      </c>
      <c r="C6328">
        <v>805307</v>
      </c>
      <c r="D6328">
        <v>339</v>
      </c>
    </row>
    <row r="6329" spans="1:4" x14ac:dyDescent="0.25">
      <c r="A6329" t="str">
        <f>T("   730799")</f>
        <v xml:space="preserve">   730799</v>
      </c>
      <c r="B6329"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6329">
        <v>651915</v>
      </c>
      <c r="D6329">
        <v>339</v>
      </c>
    </row>
    <row r="6330" spans="1:4" x14ac:dyDescent="0.25">
      <c r="A6330" t="str">
        <f>T("   730820")</f>
        <v xml:space="preserve">   730820</v>
      </c>
      <c r="B6330" t="str">
        <f>T("   Tours et pylônes, en fer ou en acier")</f>
        <v xml:space="preserve">   Tours et pylônes, en fer ou en acier</v>
      </c>
      <c r="C6330">
        <v>10101932</v>
      </c>
      <c r="D6330">
        <v>3000</v>
      </c>
    </row>
    <row r="6331" spans="1:4" x14ac:dyDescent="0.25">
      <c r="A6331" t="str">
        <f>T("   730900")</f>
        <v xml:space="preserve">   730900</v>
      </c>
      <c r="B6331" t="s">
        <v>350</v>
      </c>
      <c r="C6331">
        <v>486541</v>
      </c>
      <c r="D6331">
        <v>20</v>
      </c>
    </row>
    <row r="6332" spans="1:4" x14ac:dyDescent="0.25">
      <c r="A6332" t="str">
        <f>T("   731210")</f>
        <v xml:space="preserve">   731210</v>
      </c>
      <c r="B6332"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6332">
        <v>398100</v>
      </c>
      <c r="D6332">
        <v>2162.7199999999998</v>
      </c>
    </row>
    <row r="6333" spans="1:4" x14ac:dyDescent="0.25">
      <c r="A6333" t="str">
        <f>T("   731290")</f>
        <v xml:space="preserve">   731290</v>
      </c>
      <c r="B6333" t="str">
        <f>T("   Tresses, élingues et simil., en fer ou en acier (sauf produits isolés pour l'électricité)")</f>
        <v xml:space="preserve">   Tresses, élingues et simil., en fer ou en acier (sauf produits isolés pour l'électricité)</v>
      </c>
      <c r="C6333">
        <v>322842</v>
      </c>
      <c r="D6333">
        <v>3000</v>
      </c>
    </row>
    <row r="6334" spans="1:4" x14ac:dyDescent="0.25">
      <c r="A6334" t="str">
        <f>T("   731815")</f>
        <v xml:space="preserve">   731815</v>
      </c>
      <c r="B6334" t="s">
        <v>354</v>
      </c>
      <c r="C6334">
        <v>36924</v>
      </c>
      <c r="D6334">
        <v>779.6</v>
      </c>
    </row>
    <row r="6335" spans="1:4" x14ac:dyDescent="0.25">
      <c r="A6335" t="str">
        <f>T("   731819")</f>
        <v xml:space="preserve">   731819</v>
      </c>
      <c r="B6335" t="str">
        <f>T("   Articles de boulonnerie et de visserie, filetés, en fonte, fer ou acier, n.d.a.")</f>
        <v xml:space="preserve">   Articles de boulonnerie et de visserie, filetés, en fonte, fer ou acier, n.d.a.</v>
      </c>
      <c r="C6335">
        <v>649519</v>
      </c>
      <c r="D6335">
        <v>226</v>
      </c>
    </row>
    <row r="6336" spans="1:4" x14ac:dyDescent="0.25">
      <c r="A6336" t="str">
        <f>T("   732393")</f>
        <v xml:space="preserve">   732393</v>
      </c>
      <c r="B6336" t="s">
        <v>361</v>
      </c>
      <c r="C6336">
        <v>742513</v>
      </c>
      <c r="D6336">
        <v>5060</v>
      </c>
    </row>
    <row r="6337" spans="1:4" x14ac:dyDescent="0.25">
      <c r="A6337" t="str">
        <f>T("   732394")</f>
        <v xml:space="preserve">   732394</v>
      </c>
      <c r="B6337" t="s">
        <v>362</v>
      </c>
      <c r="C6337">
        <v>6622139</v>
      </c>
      <c r="D6337">
        <v>14108</v>
      </c>
    </row>
    <row r="6338" spans="1:4" x14ac:dyDescent="0.25">
      <c r="A6338" t="str">
        <f>T("   732591")</f>
        <v xml:space="preserve">   732591</v>
      </c>
      <c r="B6338" t="str">
        <f>T("   Boulets et simil., pour broyeurs, moulés (sauf en fonte non malléable)")</f>
        <v xml:space="preserve">   Boulets et simil., pour broyeurs, moulés (sauf en fonte non malléable)</v>
      </c>
      <c r="C6338">
        <v>94527820</v>
      </c>
      <c r="D6338">
        <v>144000</v>
      </c>
    </row>
    <row r="6339" spans="1:4" x14ac:dyDescent="0.25">
      <c r="A6339" t="str">
        <f>T("   732599")</f>
        <v xml:space="preserve">   732599</v>
      </c>
      <c r="B6339"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6339">
        <v>14140710</v>
      </c>
      <c r="D6339">
        <v>27880</v>
      </c>
    </row>
    <row r="6340" spans="1:4" x14ac:dyDescent="0.25">
      <c r="A6340" t="str">
        <f>T("   761519")</f>
        <v xml:space="preserve">   761519</v>
      </c>
      <c r="B6340" t="s">
        <v>373</v>
      </c>
      <c r="C6340">
        <v>915720</v>
      </c>
      <c r="D6340">
        <v>2843</v>
      </c>
    </row>
    <row r="6341" spans="1:4" x14ac:dyDescent="0.25">
      <c r="A6341" t="str">
        <f>T("   820220")</f>
        <v xml:space="preserve">   820220</v>
      </c>
      <c r="B6341" t="str">
        <f>T("   Lames de scies à ruban en métaux communs")</f>
        <v xml:space="preserve">   Lames de scies à ruban en métaux communs</v>
      </c>
      <c r="C6341">
        <v>1262224</v>
      </c>
      <c r="D6341">
        <v>194</v>
      </c>
    </row>
    <row r="6342" spans="1:4" x14ac:dyDescent="0.25">
      <c r="A6342" t="str">
        <f>T("   820559")</f>
        <v xml:space="preserve">   820559</v>
      </c>
      <c r="B6342" t="str">
        <f>T("   Outils à main, y.c. -les diamants de vitrier-, en métaux communs, n.d.a.")</f>
        <v xml:space="preserve">   Outils à main, y.c. -les diamants de vitrier-, en métaux communs, n.d.a.</v>
      </c>
      <c r="C6342">
        <v>1516817</v>
      </c>
      <c r="D6342">
        <v>10035.799999999999</v>
      </c>
    </row>
    <row r="6343" spans="1:4" x14ac:dyDescent="0.25">
      <c r="A6343" t="str">
        <f>T("   820820")</f>
        <v xml:space="preserve">   820820</v>
      </c>
      <c r="B6343" t="str">
        <f>T("   Couteaux et lames tranchantes, en métaux communs, pour machines ou pour appareils mécaniques, pour le travail du bois")</f>
        <v xml:space="preserve">   Couteaux et lames tranchantes, en métaux communs, pour machines ou pour appareils mécaniques, pour le travail du bois</v>
      </c>
      <c r="C6343">
        <v>1909936</v>
      </c>
      <c r="D6343">
        <v>3000</v>
      </c>
    </row>
    <row r="6344" spans="1:4" x14ac:dyDescent="0.25">
      <c r="A6344" t="str">
        <f>T("   830990")</f>
        <v xml:space="preserve">   830990</v>
      </c>
      <c r="B6344"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6344">
        <v>13515993</v>
      </c>
      <c r="D6344">
        <v>4283</v>
      </c>
    </row>
    <row r="6345" spans="1:4" x14ac:dyDescent="0.25">
      <c r="A6345" t="str">
        <f>T("   831130")</f>
        <v xml:space="preserve">   831130</v>
      </c>
      <c r="B6345" t="s">
        <v>384</v>
      </c>
      <c r="C6345">
        <v>304071</v>
      </c>
      <c r="D6345">
        <v>3000</v>
      </c>
    </row>
    <row r="6346" spans="1:4" x14ac:dyDescent="0.25">
      <c r="A6346" t="str">
        <f>T("   841382")</f>
        <v xml:space="preserve">   841382</v>
      </c>
      <c r="B6346" t="str">
        <f>T("   Elévateurs à liquides (à l'excl. des pompes)")</f>
        <v xml:space="preserve">   Elévateurs à liquides (à l'excl. des pompes)</v>
      </c>
      <c r="C6346">
        <v>30913594</v>
      </c>
      <c r="D6346">
        <v>26852</v>
      </c>
    </row>
    <row r="6347" spans="1:4" x14ac:dyDescent="0.25">
      <c r="A6347" t="str">
        <f>T("   841451")</f>
        <v xml:space="preserve">   841451</v>
      </c>
      <c r="B6347"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6347">
        <v>17141670</v>
      </c>
      <c r="D6347">
        <v>25392</v>
      </c>
    </row>
    <row r="6348" spans="1:4" x14ac:dyDescent="0.25">
      <c r="A6348" t="str">
        <f>T("   841480")</f>
        <v xml:space="preserve">   841480</v>
      </c>
      <c r="B6348" t="s">
        <v>399</v>
      </c>
      <c r="C6348">
        <v>1380529</v>
      </c>
      <c r="D6348">
        <v>91</v>
      </c>
    </row>
    <row r="6349" spans="1:4" x14ac:dyDescent="0.25">
      <c r="A6349" t="str">
        <f>T("   841490")</f>
        <v xml:space="preserve">   841490</v>
      </c>
      <c r="B6349"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6349">
        <v>2876</v>
      </c>
      <c r="D6349">
        <v>6</v>
      </c>
    </row>
    <row r="6350" spans="1:4" x14ac:dyDescent="0.25">
      <c r="A6350" t="str">
        <f>T("   841810")</f>
        <v xml:space="preserve">   841810</v>
      </c>
      <c r="B6350" t="str">
        <f>T("   Réfrigérateurs et congélateurs-conservateurs combinés, avec portes extérieures séparées")</f>
        <v xml:space="preserve">   Réfrigérateurs et congélateurs-conservateurs combinés, avec portes extérieures séparées</v>
      </c>
      <c r="C6350">
        <v>44580</v>
      </c>
      <c r="D6350">
        <v>25</v>
      </c>
    </row>
    <row r="6351" spans="1:4" x14ac:dyDescent="0.25">
      <c r="A6351" t="str">
        <f>T("   841829")</f>
        <v xml:space="preserve">   841829</v>
      </c>
      <c r="B6351" t="str">
        <f>T("   Réfrigérateurs ménagers à absorption, non-électriques")</f>
        <v xml:space="preserve">   Réfrigérateurs ménagers à absorption, non-électriques</v>
      </c>
      <c r="C6351">
        <v>9744227</v>
      </c>
      <c r="D6351">
        <v>4751</v>
      </c>
    </row>
    <row r="6352" spans="1:4" x14ac:dyDescent="0.25">
      <c r="A6352" t="str">
        <f>T("   841869")</f>
        <v xml:space="preserve">   841869</v>
      </c>
      <c r="B6352"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6352">
        <v>2177687</v>
      </c>
      <c r="D6352">
        <v>489</v>
      </c>
    </row>
    <row r="6353" spans="1:4" x14ac:dyDescent="0.25">
      <c r="A6353" t="str">
        <f>T("   842199")</f>
        <v xml:space="preserve">   842199</v>
      </c>
      <c r="B6353" t="str">
        <f>T("   Parties d'appareils pour la filtration ou l'épuration des liquides ou des gaz, n.d.a.")</f>
        <v xml:space="preserve">   Parties d'appareils pour la filtration ou l'épuration des liquides ou des gaz, n.d.a.</v>
      </c>
      <c r="C6353">
        <v>3074071</v>
      </c>
      <c r="D6353">
        <v>1244</v>
      </c>
    </row>
    <row r="6354" spans="1:4" x14ac:dyDescent="0.25">
      <c r="A6354" t="str">
        <f>T("   842220")</f>
        <v xml:space="preserve">   842220</v>
      </c>
      <c r="B6354" t="str">
        <f>T("   Machines et appareils à nettoyer ou à sécher les bouteilles ou autres récipients (à l'excl. des machines à laver la vaisselle)")</f>
        <v xml:space="preserve">   Machines et appareils à nettoyer ou à sécher les bouteilles ou autres récipients (à l'excl. des machines à laver la vaisselle)</v>
      </c>
      <c r="C6354">
        <v>232005</v>
      </c>
      <c r="D6354">
        <v>40</v>
      </c>
    </row>
    <row r="6355" spans="1:4" x14ac:dyDescent="0.25">
      <c r="A6355" t="str">
        <f>T("   842230")</f>
        <v xml:space="preserve">   842230</v>
      </c>
      <c r="B6355"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6355">
        <v>16079062</v>
      </c>
      <c r="D6355">
        <v>1200</v>
      </c>
    </row>
    <row r="6356" spans="1:4" x14ac:dyDescent="0.25">
      <c r="A6356" t="str">
        <f>T("   842290")</f>
        <v xml:space="preserve">   842290</v>
      </c>
      <c r="B6356"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6356">
        <v>1242590</v>
      </c>
      <c r="D6356">
        <v>390</v>
      </c>
    </row>
    <row r="6357" spans="1:4" x14ac:dyDescent="0.25">
      <c r="A6357" t="str">
        <f>T("   842612")</f>
        <v xml:space="preserve">   842612</v>
      </c>
      <c r="B6357" t="str">
        <f>T("   Portiques mobiles sur pneumatiques et chariots-cavaliers")</f>
        <v xml:space="preserve">   Portiques mobiles sur pneumatiques et chariots-cavaliers</v>
      </c>
      <c r="C6357">
        <v>22112330</v>
      </c>
      <c r="D6357">
        <v>1675.4</v>
      </c>
    </row>
    <row r="6358" spans="1:4" x14ac:dyDescent="0.25">
      <c r="A6358" t="str">
        <f>T("   842720")</f>
        <v xml:space="preserve">   842720</v>
      </c>
      <c r="B6358" t="str">
        <f>T("   Chariots de manutention autopropulsés, autres qu'à moteur électrique, avec dispositif de levage")</f>
        <v xml:space="preserve">   Chariots de manutention autopropulsés, autres qu'à moteur électrique, avec dispositif de levage</v>
      </c>
      <c r="C6358">
        <v>22179525</v>
      </c>
      <c r="D6358">
        <v>11000</v>
      </c>
    </row>
    <row r="6359" spans="1:4" x14ac:dyDescent="0.25">
      <c r="A6359" t="str">
        <f>T("   842951")</f>
        <v xml:space="preserve">   842951</v>
      </c>
      <c r="B6359" t="str">
        <f>T("   Chargeuses et chargeuses-pelleteuses, à chargement frontal, autopropulsées")</f>
        <v xml:space="preserve">   Chargeuses et chargeuses-pelleteuses, à chargement frontal, autopropulsées</v>
      </c>
      <c r="C6359">
        <v>12584423</v>
      </c>
      <c r="D6359">
        <v>3898</v>
      </c>
    </row>
    <row r="6360" spans="1:4" x14ac:dyDescent="0.25">
      <c r="A6360" t="str">
        <f>T("   843820")</f>
        <v xml:space="preserve">   843820</v>
      </c>
      <c r="B6360" t="str">
        <f>T("   Machines et appareils pour la fabrication industrielle des produits de confiserie ou pour la fabrication industrielle du cacao ou du chocolat (sauf centrifugeuses et sauf appareils de filtrage, appareils thermiques et appareils de refroidissement)")</f>
        <v xml:space="preserve">   Machines et appareils pour la fabrication industrielle des produits de confiserie ou pour la fabrication industrielle du cacao ou du chocolat (sauf centrifugeuses et sauf appareils de filtrage, appareils thermiques et appareils de refroidissement)</v>
      </c>
      <c r="C6360">
        <v>1981633</v>
      </c>
      <c r="D6360">
        <v>140</v>
      </c>
    </row>
    <row r="6361" spans="1:4" x14ac:dyDescent="0.25">
      <c r="A6361" t="str">
        <f>T("   843840")</f>
        <v xml:space="preserve">   843840</v>
      </c>
      <c r="B6361" t="str">
        <f>T("   Machines et appareils pour la brasserie (sauf centrifugeuses et sauf appareils de filtrage, appareils thermiques et appareils de refroidissement)")</f>
        <v xml:space="preserve">   Machines et appareils pour la brasserie (sauf centrifugeuses et sauf appareils de filtrage, appareils thermiques et appareils de refroidissement)</v>
      </c>
      <c r="C6361">
        <v>9768194</v>
      </c>
      <c r="D6361">
        <v>2800</v>
      </c>
    </row>
    <row r="6362" spans="1:4" x14ac:dyDescent="0.25">
      <c r="A6362" t="str">
        <f>T("   843880")</f>
        <v xml:space="preserve">   843880</v>
      </c>
      <c r="B6362" t="str">
        <f>T("   Machines et appareils pour la préparation ou la fabrication industrielles d'aliments ou de boissons, n.d.a.")</f>
        <v xml:space="preserve">   Machines et appareils pour la préparation ou la fabrication industrielles d'aliments ou de boissons, n.d.a.</v>
      </c>
      <c r="C6362">
        <v>5354340</v>
      </c>
      <c r="D6362">
        <v>3000</v>
      </c>
    </row>
    <row r="6363" spans="1:4" x14ac:dyDescent="0.25">
      <c r="A6363" t="str">
        <f>T("   845180")</f>
        <v xml:space="preserve">   845180</v>
      </c>
      <c r="B6363" t="s">
        <v>423</v>
      </c>
      <c r="C6363">
        <v>13384</v>
      </c>
      <c r="D6363">
        <v>58</v>
      </c>
    </row>
    <row r="6364" spans="1:4" x14ac:dyDescent="0.25">
      <c r="A6364" t="str">
        <f>T("   845210")</f>
        <v xml:space="preserve">   845210</v>
      </c>
      <c r="B6364" t="str">
        <f>T("   Machines à coudre de type ménager")</f>
        <v xml:space="preserve">   Machines à coudre de type ménager</v>
      </c>
      <c r="C6364">
        <v>9826675</v>
      </c>
      <c r="D6364">
        <v>26590</v>
      </c>
    </row>
    <row r="6365" spans="1:4" x14ac:dyDescent="0.25">
      <c r="A6365" t="str">
        <f>T("   846150")</f>
        <v xml:space="preserve">   846150</v>
      </c>
      <c r="B6365" t="str">
        <f>T("   Machines à scier ou à tronçonner, pour le travail des métaux (autres que l'outillage à main)")</f>
        <v xml:space="preserve">   Machines à scier ou à tronçonner, pour le travail des métaux (autres que l'outillage à main)</v>
      </c>
      <c r="C6365">
        <v>19541465</v>
      </c>
      <c r="D6365">
        <v>14461.96</v>
      </c>
    </row>
    <row r="6366" spans="1:4" x14ac:dyDescent="0.25">
      <c r="A6366" t="str">
        <f>T("   846221")</f>
        <v xml:space="preserve">   846221</v>
      </c>
      <c r="B6366" t="str">
        <f>T("   Machines, y.c. -les presses-, à rouler, cintrer, plier, dresser ou planer, à commande numérique, pour le travail des métaux")</f>
        <v xml:space="preserve">   Machines, y.c. -les presses-, à rouler, cintrer, plier, dresser ou planer, à commande numérique, pour le travail des métaux</v>
      </c>
      <c r="C6366">
        <v>62999054</v>
      </c>
      <c r="D6366">
        <v>10623</v>
      </c>
    </row>
    <row r="6367" spans="1:4" x14ac:dyDescent="0.25">
      <c r="A6367" t="str">
        <f>T("   846599")</f>
        <v xml:space="preserve">   846599</v>
      </c>
      <c r="B6367" t="s">
        <v>431</v>
      </c>
      <c r="C6367">
        <v>25082357</v>
      </c>
      <c r="D6367">
        <v>3930</v>
      </c>
    </row>
    <row r="6368" spans="1:4" x14ac:dyDescent="0.25">
      <c r="A6368" t="str">
        <f>T("   846693")</f>
        <v xml:space="preserve">   846693</v>
      </c>
      <c r="B6368" t="str">
        <f>T("   Parties et accessoires pour machines-outils pour le travail du métal avec enlèvement de métal, n.d.a.")</f>
        <v xml:space="preserve">   Parties et accessoires pour machines-outils pour le travail du métal avec enlèvement de métal, n.d.a.</v>
      </c>
      <c r="C6368">
        <v>117920</v>
      </c>
      <c r="D6368">
        <v>423.7</v>
      </c>
    </row>
    <row r="6369" spans="1:4" x14ac:dyDescent="0.25">
      <c r="A6369" t="str">
        <f>T("   846799")</f>
        <v xml:space="preserve">   846799</v>
      </c>
      <c r="B6369" t="str">
        <f>T("   Parties d'outils pour emploi à la main, hydrauliques ou à moteur électrique ou non électrique incorporé, n.d.a.")</f>
        <v xml:space="preserve">   Parties d'outils pour emploi à la main, hydrauliques ou à moteur électrique ou non électrique incorporé, n.d.a.</v>
      </c>
      <c r="C6369">
        <v>33125159</v>
      </c>
      <c r="D6369">
        <v>26960</v>
      </c>
    </row>
    <row r="6370" spans="1:4" x14ac:dyDescent="0.25">
      <c r="A6370" t="str">
        <f>T("   847141")</f>
        <v xml:space="preserve">   847141</v>
      </c>
      <c r="B6370" t="s">
        <v>434</v>
      </c>
      <c r="C6370">
        <v>426374</v>
      </c>
      <c r="D6370">
        <v>450</v>
      </c>
    </row>
    <row r="6371" spans="1:4" x14ac:dyDescent="0.25">
      <c r="A6371" t="str">
        <f>T("   847190")</f>
        <v xml:space="preserve">   847190</v>
      </c>
      <c r="B6371"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371">
        <v>7118478</v>
      </c>
      <c r="D6371">
        <v>436</v>
      </c>
    </row>
    <row r="6372" spans="1:4" x14ac:dyDescent="0.25">
      <c r="A6372" t="str">
        <f>T("   847920")</f>
        <v xml:space="preserve">   847920</v>
      </c>
      <c r="B6372" t="s">
        <v>439</v>
      </c>
      <c r="C6372">
        <v>3889566</v>
      </c>
      <c r="D6372">
        <v>206</v>
      </c>
    </row>
    <row r="6373" spans="1:4" x14ac:dyDescent="0.25">
      <c r="A6373" t="str">
        <f>T("   848079")</f>
        <v xml:space="preserve">   848079</v>
      </c>
      <c r="B6373" t="s">
        <v>441</v>
      </c>
      <c r="C6373">
        <v>1556449</v>
      </c>
      <c r="D6373">
        <v>199</v>
      </c>
    </row>
    <row r="6374" spans="1:4" x14ac:dyDescent="0.25">
      <c r="A6374" t="str">
        <f>T("   848180")</f>
        <v xml:space="preserve">   848180</v>
      </c>
      <c r="B6374"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6374">
        <v>5926683</v>
      </c>
      <c r="D6374">
        <v>2388</v>
      </c>
    </row>
    <row r="6375" spans="1:4" x14ac:dyDescent="0.25">
      <c r="A6375" t="str">
        <f>T("   848280")</f>
        <v xml:space="preserve">   848280</v>
      </c>
      <c r="B6375" t="s">
        <v>442</v>
      </c>
      <c r="C6375">
        <v>440230</v>
      </c>
      <c r="D6375">
        <v>423.7</v>
      </c>
    </row>
    <row r="6376" spans="1:4" x14ac:dyDescent="0.25">
      <c r="A6376" t="str">
        <f>T("   848350")</f>
        <v xml:space="preserve">   848350</v>
      </c>
      <c r="B6376" t="str">
        <f>T("   Volants et poulies, y.c. les poulies à moufles")</f>
        <v xml:space="preserve">   Volants et poulies, y.c. les poulies à moufles</v>
      </c>
      <c r="C6376">
        <v>308361</v>
      </c>
      <c r="D6376">
        <v>291</v>
      </c>
    </row>
    <row r="6377" spans="1:4" x14ac:dyDescent="0.25">
      <c r="A6377" t="str">
        <f>T("   848490")</f>
        <v xml:space="preserve">   848490</v>
      </c>
      <c r="B6377" t="str">
        <f>T("   Jeux ou assortiments de joints de composition différente présentés en pochettes, enveloppes ou emballages analogues")</f>
        <v xml:space="preserve">   Jeux ou assortiments de joints de composition différente présentés en pochettes, enveloppes ou emballages analogues</v>
      </c>
      <c r="C6377">
        <v>3656070</v>
      </c>
      <c r="D6377">
        <v>1559.2</v>
      </c>
    </row>
    <row r="6378" spans="1:4" x14ac:dyDescent="0.25">
      <c r="A6378" t="str">
        <f>T("   848590")</f>
        <v xml:space="preserve">   848590</v>
      </c>
      <c r="B6378" t="str">
        <f>T("   Parties de machines et appareils du chapitre 84, sans caractéristiques spéciales d'utilisation, n.d.a.")</f>
        <v xml:space="preserve">   Parties de machines et appareils du chapitre 84, sans caractéristiques spéciales d'utilisation, n.d.a.</v>
      </c>
      <c r="C6378">
        <v>212351</v>
      </c>
      <c r="D6378">
        <v>14</v>
      </c>
    </row>
    <row r="6379" spans="1:4" x14ac:dyDescent="0.25">
      <c r="A6379" t="str">
        <f>T("   850120")</f>
        <v xml:space="preserve">   850120</v>
      </c>
      <c r="B6379" t="str">
        <f>T("   Moteurs universels, puissance &gt; 37,5 W")</f>
        <v xml:space="preserve">   Moteurs universels, puissance &gt; 37,5 W</v>
      </c>
      <c r="C6379">
        <v>1840771</v>
      </c>
      <c r="D6379">
        <v>3000</v>
      </c>
    </row>
    <row r="6380" spans="1:4" x14ac:dyDescent="0.25">
      <c r="A6380" t="str">
        <f>T("   850152")</f>
        <v xml:space="preserve">   850152</v>
      </c>
      <c r="B6380" t="str">
        <f>T("   Moteurs à courant alternatif, polyphasés, puissance &gt; 750 W mais &lt;= 75 kW")</f>
        <v xml:space="preserve">   Moteurs à courant alternatif, polyphasés, puissance &gt; 750 W mais &lt;= 75 kW</v>
      </c>
      <c r="C6380">
        <v>5700612</v>
      </c>
      <c r="D6380">
        <v>1850.2</v>
      </c>
    </row>
    <row r="6381" spans="1:4" x14ac:dyDescent="0.25">
      <c r="A6381" t="str">
        <f>T("   850211")</f>
        <v xml:space="preserve">   850211</v>
      </c>
      <c r="B6381" t="s">
        <v>444</v>
      </c>
      <c r="C6381">
        <v>42810749</v>
      </c>
      <c r="D6381">
        <v>18500</v>
      </c>
    </row>
    <row r="6382" spans="1:4" x14ac:dyDescent="0.25">
      <c r="A6382" t="str">
        <f>T("   850212")</f>
        <v xml:space="preserve">   850212</v>
      </c>
      <c r="B6382"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6382">
        <v>17721570</v>
      </c>
      <c r="D6382">
        <v>2300</v>
      </c>
    </row>
    <row r="6383" spans="1:4" x14ac:dyDescent="0.25">
      <c r="A6383" t="str">
        <f>T("   850440")</f>
        <v xml:space="preserve">   850440</v>
      </c>
      <c r="B6383" t="str">
        <f>T("   CONVERTISSEURS STATIQUES")</f>
        <v xml:space="preserve">   CONVERTISSEURS STATIQUES</v>
      </c>
      <c r="C6383">
        <v>5592756</v>
      </c>
      <c r="D6383">
        <v>4645</v>
      </c>
    </row>
    <row r="6384" spans="1:4" x14ac:dyDescent="0.25">
      <c r="A6384" t="str">
        <f>T("   850710")</f>
        <v xml:space="preserve">   850710</v>
      </c>
      <c r="B6384" t="str">
        <f>T("   Accumulateurs au plomb, pour le démarrage des moteurs à piston (sauf hors d'usage)")</f>
        <v xml:space="preserve">   Accumulateurs au plomb, pour le démarrage des moteurs à piston (sauf hors d'usage)</v>
      </c>
      <c r="C6384">
        <v>12368922</v>
      </c>
      <c r="D6384">
        <v>14475</v>
      </c>
    </row>
    <row r="6385" spans="1:4" x14ac:dyDescent="0.25">
      <c r="A6385" t="str">
        <f>T("   850780")</f>
        <v xml:space="preserve">   850780</v>
      </c>
      <c r="B6385" t="str">
        <f>T("   Accumulateurs électriques (sauf hors d'usage et autres qu'au plomb, au nickel-cadmium ou au nickel-fer)")</f>
        <v xml:space="preserve">   Accumulateurs électriques (sauf hors d'usage et autres qu'au plomb, au nickel-cadmium ou au nickel-fer)</v>
      </c>
      <c r="C6385">
        <v>5317242</v>
      </c>
      <c r="D6385">
        <v>17968</v>
      </c>
    </row>
    <row r="6386" spans="1:4" x14ac:dyDescent="0.25">
      <c r="A6386" t="str">
        <f>T("   850980")</f>
        <v xml:space="preserve">   850980</v>
      </c>
      <c r="B6386" t="s">
        <v>447</v>
      </c>
      <c r="C6386">
        <v>725050</v>
      </c>
      <c r="D6386">
        <v>167</v>
      </c>
    </row>
    <row r="6387" spans="1:4" x14ac:dyDescent="0.25">
      <c r="A6387" t="str">
        <f>T("   851140")</f>
        <v xml:space="preserve">   851140</v>
      </c>
      <c r="B6387" t="str">
        <f>T("   Démarreurs, même fonctionnant comme génératrices, pour moteurs à allumage par étincelles ou par compression")</f>
        <v xml:space="preserve">   Démarreurs, même fonctionnant comme génératrices, pour moteurs à allumage par étincelles ou par compression</v>
      </c>
      <c r="C6387">
        <v>1729154</v>
      </c>
      <c r="D6387">
        <v>7532.5</v>
      </c>
    </row>
    <row r="6388" spans="1:4" x14ac:dyDescent="0.25">
      <c r="A6388" t="str">
        <f>T("   851719")</f>
        <v xml:space="preserve">   851719</v>
      </c>
      <c r="B6388"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6388">
        <v>1366446</v>
      </c>
      <c r="D6388">
        <v>518</v>
      </c>
    </row>
    <row r="6389" spans="1:4" x14ac:dyDescent="0.25">
      <c r="A6389" t="str">
        <f>T("   851730")</f>
        <v xml:space="preserve">   851730</v>
      </c>
      <c r="B6389" t="str">
        <f>T("   Appareils de commutation pour la téléphonie ou la télégraphie par fil")</f>
        <v xml:space="preserve">   Appareils de commutation pour la téléphonie ou la télégraphie par fil</v>
      </c>
      <c r="C6389">
        <v>1901213</v>
      </c>
      <c r="D6389">
        <v>1222</v>
      </c>
    </row>
    <row r="6390" spans="1:4" x14ac:dyDescent="0.25">
      <c r="A6390" t="str">
        <f>T("   851780")</f>
        <v xml:space="preserve">   851780</v>
      </c>
      <c r="B6390" t="s">
        <v>453</v>
      </c>
      <c r="C6390">
        <v>20423535</v>
      </c>
      <c r="D6390">
        <v>10610.5</v>
      </c>
    </row>
    <row r="6391" spans="1:4" x14ac:dyDescent="0.25">
      <c r="A6391" t="str">
        <f>T("   851790")</f>
        <v xml:space="preserve">   851790</v>
      </c>
      <c r="B6391" t="s">
        <v>454</v>
      </c>
      <c r="C6391">
        <v>170108444</v>
      </c>
      <c r="D6391">
        <v>155749</v>
      </c>
    </row>
    <row r="6392" spans="1:4" x14ac:dyDescent="0.25">
      <c r="A6392" t="str">
        <f>T("   852190")</f>
        <v xml:space="preserve">   852190</v>
      </c>
      <c r="B6392" t="s">
        <v>457</v>
      </c>
      <c r="C6392">
        <v>200068</v>
      </c>
      <c r="D6392">
        <v>1700</v>
      </c>
    </row>
    <row r="6393" spans="1:4" x14ac:dyDescent="0.25">
      <c r="A6393" t="str">
        <f>T("   852719")</f>
        <v xml:space="preserve">   852719</v>
      </c>
      <c r="B6393"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6393">
        <v>362746</v>
      </c>
      <c r="D6393">
        <v>2500</v>
      </c>
    </row>
    <row r="6394" spans="1:4" x14ac:dyDescent="0.25">
      <c r="A6394" t="str">
        <f>T("   852812")</f>
        <v xml:space="preserve">   852812</v>
      </c>
      <c r="B639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6394">
        <v>1180728</v>
      </c>
      <c r="D6394">
        <v>4000</v>
      </c>
    </row>
    <row r="6395" spans="1:4" x14ac:dyDescent="0.25">
      <c r="A6395" t="str">
        <f>T("   853620")</f>
        <v xml:space="preserve">   853620</v>
      </c>
      <c r="B6395" t="str">
        <f>T("   Disjoncteurs, pour une tension &lt;= 1.000 V")</f>
        <v xml:space="preserve">   Disjoncteurs, pour une tension &lt;= 1.000 V</v>
      </c>
      <c r="C6395">
        <v>35445455</v>
      </c>
      <c r="D6395">
        <v>10496</v>
      </c>
    </row>
    <row r="6396" spans="1:4" x14ac:dyDescent="0.25">
      <c r="A6396" t="str">
        <f>T("   853650")</f>
        <v xml:space="preserve">   853650</v>
      </c>
      <c r="B6396" t="str">
        <f>T("   Interrupteurs, sectionneurs et commutateurs, pour une tension &lt;= 1.000 V (autres que relais et disjoncteurs)")</f>
        <v xml:space="preserve">   Interrupteurs, sectionneurs et commutateurs, pour une tension &lt;= 1.000 V (autres que relais et disjoncteurs)</v>
      </c>
      <c r="C6396">
        <v>778643</v>
      </c>
      <c r="D6396">
        <v>3013</v>
      </c>
    </row>
    <row r="6397" spans="1:4" x14ac:dyDescent="0.25">
      <c r="A6397" t="str">
        <f>T("   853669")</f>
        <v xml:space="preserve">   853669</v>
      </c>
      <c r="B6397" t="str">
        <f>T("   Fiches et prises de courant, pour une tension &lt;= 1.000 V (sauf douilles pour lampes)")</f>
        <v xml:space="preserve">   Fiches et prises de courant, pour une tension &lt;= 1.000 V (sauf douilles pour lampes)</v>
      </c>
      <c r="C6397">
        <v>3279800</v>
      </c>
      <c r="D6397">
        <v>24554</v>
      </c>
    </row>
    <row r="6398" spans="1:4" x14ac:dyDescent="0.25">
      <c r="A6398" t="str">
        <f>T("   853710")</f>
        <v xml:space="preserve">   853710</v>
      </c>
      <c r="B6398"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6398">
        <v>112253258</v>
      </c>
      <c r="D6398">
        <v>14300</v>
      </c>
    </row>
    <row r="6399" spans="1:4" x14ac:dyDescent="0.25">
      <c r="A6399" t="str">
        <f>T("   853720")</f>
        <v xml:space="preserve">   853720</v>
      </c>
      <c r="B6399"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6399">
        <v>136669876</v>
      </c>
      <c r="D6399">
        <v>9400</v>
      </c>
    </row>
    <row r="6400" spans="1:4" x14ac:dyDescent="0.25">
      <c r="A6400" t="str">
        <f>T("   853810")</f>
        <v xml:space="preserve">   853810</v>
      </c>
      <c r="B6400" t="str">
        <f>T("   Tableaux, panneaux, consoles, pupitres, armoires et autres supports pour articles du n° 8537, dépourvus de leurs appareils")</f>
        <v xml:space="preserve">   Tableaux, panneaux, consoles, pupitres, armoires et autres supports pour articles du n° 8537, dépourvus de leurs appareils</v>
      </c>
      <c r="C6400">
        <v>191540</v>
      </c>
      <c r="D6400">
        <v>50</v>
      </c>
    </row>
    <row r="6401" spans="1:4" x14ac:dyDescent="0.25">
      <c r="A6401" t="str">
        <f>T("   853929")</f>
        <v xml:space="preserve">   853929</v>
      </c>
      <c r="B6401"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6401">
        <v>11471334</v>
      </c>
      <c r="D6401">
        <v>1600</v>
      </c>
    </row>
    <row r="6402" spans="1:4" x14ac:dyDescent="0.25">
      <c r="A6402" t="str">
        <f>T("   853949")</f>
        <v xml:space="preserve">   853949</v>
      </c>
      <c r="B6402" t="str">
        <f>T("   Lampes et tubes à rayons ultraviolets ou infrarouges")</f>
        <v xml:space="preserve">   Lampes et tubes à rayons ultraviolets ou infrarouges</v>
      </c>
      <c r="C6402">
        <v>29604498</v>
      </c>
      <c r="D6402">
        <v>54987</v>
      </c>
    </row>
    <row r="6403" spans="1:4" x14ac:dyDescent="0.25">
      <c r="A6403" t="str">
        <f>T("   854451")</f>
        <v xml:space="preserve">   854451</v>
      </c>
      <c r="B6403" t="str">
        <f>T("   Conducteurs électriques, pour tension &gt; 80 V mais &lt;= 1.000 V, avec pièces de connexion, n.d.a.")</f>
        <v xml:space="preserve">   Conducteurs électriques, pour tension &gt; 80 V mais &lt;= 1.000 V, avec pièces de connexion, n.d.a.</v>
      </c>
      <c r="C6403">
        <v>217341939</v>
      </c>
      <c r="D6403">
        <v>89502</v>
      </c>
    </row>
    <row r="6404" spans="1:4" x14ac:dyDescent="0.25">
      <c r="A6404" t="str">
        <f>T("   854460")</f>
        <v xml:space="preserve">   854460</v>
      </c>
      <c r="B6404" t="str">
        <f>T("   Conducteurs électriques, pour tension &gt; 1.000 V, n.d.a.")</f>
        <v xml:space="preserve">   Conducteurs électriques, pour tension &gt; 1.000 V, n.d.a.</v>
      </c>
      <c r="C6404">
        <v>211080938</v>
      </c>
      <c r="D6404">
        <v>97194</v>
      </c>
    </row>
    <row r="6405" spans="1:4" x14ac:dyDescent="0.25">
      <c r="A6405" t="str">
        <f>T("   860791")</f>
        <v xml:space="preserve">   860791</v>
      </c>
      <c r="B6405" t="str">
        <f>T("   Parties de locomotives ou de locotracteurs, n.d.a.")</f>
        <v xml:space="preserve">   Parties de locomotives ou de locotracteurs, n.d.a.</v>
      </c>
      <c r="C6405">
        <v>11477341</v>
      </c>
      <c r="D6405">
        <v>4000</v>
      </c>
    </row>
    <row r="6406" spans="1:4" x14ac:dyDescent="0.25">
      <c r="A6406" t="str">
        <f>T("   870210")</f>
        <v xml:space="preserve">   870210</v>
      </c>
      <c r="B6406" t="s">
        <v>469</v>
      </c>
      <c r="C6406">
        <v>69361946</v>
      </c>
      <c r="D6406">
        <v>16000</v>
      </c>
    </row>
    <row r="6407" spans="1:4" x14ac:dyDescent="0.25">
      <c r="A6407" t="str">
        <f>T("   870422")</f>
        <v xml:space="preserve">   870422</v>
      </c>
      <c r="B6407" t="s">
        <v>479</v>
      </c>
      <c r="C6407">
        <v>2211914</v>
      </c>
      <c r="D6407">
        <v>8000</v>
      </c>
    </row>
    <row r="6408" spans="1:4" x14ac:dyDescent="0.25">
      <c r="A6408" t="str">
        <f>T("   870590")</f>
        <v xml:space="preserve">   870590</v>
      </c>
      <c r="B6408" t="s">
        <v>483</v>
      </c>
      <c r="C6408">
        <v>222300000</v>
      </c>
      <c r="D6408">
        <v>64200</v>
      </c>
    </row>
    <row r="6409" spans="1:4" x14ac:dyDescent="0.25">
      <c r="A6409" t="str">
        <f>T("   870839")</f>
        <v xml:space="preserve">   870839</v>
      </c>
      <c r="B6409"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6409">
        <v>782491</v>
      </c>
      <c r="D6409">
        <v>3784.76</v>
      </c>
    </row>
    <row r="6410" spans="1:4" x14ac:dyDescent="0.25">
      <c r="A6410" t="str">
        <f>T("   871120")</f>
        <v xml:space="preserve">   871120</v>
      </c>
      <c r="B6410" t="str">
        <f>T("   Motocycles à moteur à piston alternatif, cylindrée &gt; 50 cm³ mais &lt;= 250 cm³")</f>
        <v xml:space="preserve">   Motocycles à moteur à piston alternatif, cylindrée &gt; 50 cm³ mais &lt;= 250 cm³</v>
      </c>
      <c r="C6410">
        <v>121529228</v>
      </c>
      <c r="D6410">
        <v>77860</v>
      </c>
    </row>
    <row r="6411" spans="1:4" x14ac:dyDescent="0.25">
      <c r="A6411" t="str">
        <f>T("   871419")</f>
        <v xml:space="preserve">   871419</v>
      </c>
      <c r="B6411" t="str">
        <f>T("   Parties et accessoires de motocycles, y.c. de cyclomoteurs, n.d.a.")</f>
        <v xml:space="preserve">   Parties et accessoires de motocycles, y.c. de cyclomoteurs, n.d.a.</v>
      </c>
      <c r="C6411">
        <v>250577</v>
      </c>
      <c r="D6411">
        <v>270</v>
      </c>
    </row>
    <row r="6412" spans="1:4" x14ac:dyDescent="0.25">
      <c r="A6412" t="str">
        <f>T("   871680")</f>
        <v xml:space="preserve">   871680</v>
      </c>
      <c r="B6412" t="str">
        <f>T("   Véhicules dirigés à la main et autres véhicules non automobiles, autres que remorques et semi-remorques")</f>
        <v xml:space="preserve">   Véhicules dirigés à la main et autres véhicules non automobiles, autres que remorques et semi-remorques</v>
      </c>
      <c r="C6412">
        <v>1602467</v>
      </c>
      <c r="D6412">
        <v>451</v>
      </c>
    </row>
    <row r="6413" spans="1:4" x14ac:dyDescent="0.25">
      <c r="A6413" t="str">
        <f>T("   901780")</f>
        <v xml:space="preserve">   901780</v>
      </c>
      <c r="B6413" t="str">
        <f>T("   Instruments de mesure de longueurs, pour emploi à la main, n.d.a.")</f>
        <v xml:space="preserve">   Instruments de mesure de longueurs, pour emploi à la main, n.d.a.</v>
      </c>
      <c r="C6413">
        <v>201068</v>
      </c>
      <c r="D6413">
        <v>3713.5</v>
      </c>
    </row>
    <row r="6414" spans="1:4" x14ac:dyDescent="0.25">
      <c r="A6414" t="str">
        <f>T("   901819")</f>
        <v xml:space="preserve">   901819</v>
      </c>
      <c r="B6414" t="s">
        <v>494</v>
      </c>
      <c r="C6414">
        <v>8214084</v>
      </c>
      <c r="D6414">
        <v>2393</v>
      </c>
    </row>
    <row r="6415" spans="1:4" x14ac:dyDescent="0.25">
      <c r="A6415" t="str">
        <f>T("   901890")</f>
        <v xml:space="preserve">   901890</v>
      </c>
      <c r="B6415" t="str">
        <f>T("   Instruments et appareils pour la médecine, la chirurgie ou l'art vétérinaire, n.d.a.")</f>
        <v xml:space="preserve">   Instruments et appareils pour la médecine, la chirurgie ou l'art vétérinaire, n.d.a.</v>
      </c>
      <c r="C6415">
        <v>34688258</v>
      </c>
      <c r="D6415">
        <v>9311</v>
      </c>
    </row>
    <row r="6416" spans="1:4" x14ac:dyDescent="0.25">
      <c r="A6416" t="str">
        <f>T("   910599")</f>
        <v xml:space="preserve">   910599</v>
      </c>
      <c r="B6416" t="s">
        <v>502</v>
      </c>
      <c r="C6416">
        <v>2853</v>
      </c>
      <c r="D6416">
        <v>31.51</v>
      </c>
    </row>
    <row r="6417" spans="1:4" x14ac:dyDescent="0.25">
      <c r="A6417" t="str">
        <f>T("   940169")</f>
        <v xml:space="preserve">   940169</v>
      </c>
      <c r="B6417" t="str">
        <f>T("   Sièges, avec bâti en bois, non rembourrés")</f>
        <v xml:space="preserve">   Sièges, avec bâti en bois, non rembourrés</v>
      </c>
      <c r="C6417">
        <v>162678</v>
      </c>
      <c r="D6417">
        <v>505</v>
      </c>
    </row>
    <row r="6418" spans="1:4" x14ac:dyDescent="0.25">
      <c r="A6418" t="str">
        <f>T("   940180")</f>
        <v xml:space="preserve">   940180</v>
      </c>
      <c r="B6418" t="str">
        <f>T("   Sièges, n.d.a.")</f>
        <v xml:space="preserve">   Sièges, n.d.a.</v>
      </c>
      <c r="C6418">
        <v>160582</v>
      </c>
      <c r="D6418">
        <v>1160</v>
      </c>
    </row>
    <row r="6419" spans="1:4" x14ac:dyDescent="0.25">
      <c r="A6419" t="str">
        <f>T("   940350")</f>
        <v xml:space="preserve">   940350</v>
      </c>
      <c r="B6419" t="str">
        <f>T("   Meubles pour chambres à coucher, en bois (sauf sièges)")</f>
        <v xml:space="preserve">   Meubles pour chambres à coucher, en bois (sauf sièges)</v>
      </c>
      <c r="C6419">
        <v>3387664</v>
      </c>
      <c r="D6419">
        <v>2000</v>
      </c>
    </row>
    <row r="6420" spans="1:4" x14ac:dyDescent="0.25">
      <c r="A6420" t="str">
        <f>T("   940360")</f>
        <v xml:space="preserve">   940360</v>
      </c>
      <c r="B6420" t="str">
        <f>T("   Meubles en bois (autres que pour bureaux, cuisines ou chambres à coucher et autres que sièges)")</f>
        <v xml:space="preserve">   Meubles en bois (autres que pour bureaux, cuisines ou chambres à coucher et autres que sièges)</v>
      </c>
      <c r="C6420">
        <v>10536592</v>
      </c>
      <c r="D6420">
        <v>2968</v>
      </c>
    </row>
    <row r="6421" spans="1:4" x14ac:dyDescent="0.25">
      <c r="A6421" t="str">
        <f>T("   940380")</f>
        <v xml:space="preserve">   940380</v>
      </c>
      <c r="B6421" t="str">
        <f>T("   Meubles en rotin, osier, bambou ou autres matières (sauf métal, bois et matières plastiques)")</f>
        <v xml:space="preserve">   Meubles en rotin, osier, bambou ou autres matières (sauf métal, bois et matières plastiques)</v>
      </c>
      <c r="C6421">
        <v>364058</v>
      </c>
      <c r="D6421">
        <v>6000</v>
      </c>
    </row>
    <row r="6422" spans="1:4" x14ac:dyDescent="0.25">
      <c r="A6422" t="str">
        <f>T("   940540")</f>
        <v xml:space="preserve">   940540</v>
      </c>
      <c r="B6422" t="str">
        <f>T("   Appareils d'éclairage électrique, n.d.a.")</f>
        <v xml:space="preserve">   Appareils d'éclairage électrique, n.d.a.</v>
      </c>
      <c r="C6422">
        <v>51758295</v>
      </c>
      <c r="D6422">
        <v>3882</v>
      </c>
    </row>
    <row r="6423" spans="1:4" x14ac:dyDescent="0.25">
      <c r="A6423" t="str">
        <f>T("   950299")</f>
        <v xml:space="preserve">   950299</v>
      </c>
      <c r="B6423" t="str">
        <f>T("   Parties et accessoires pour poupées représentant uniquement l'être humain, n.d.a.")</f>
        <v xml:space="preserve">   Parties et accessoires pour poupées représentant uniquement l'être humain, n.d.a.</v>
      </c>
      <c r="C6423">
        <v>207388</v>
      </c>
      <c r="D6423">
        <v>750</v>
      </c>
    </row>
    <row r="6424" spans="1:4" x14ac:dyDescent="0.25">
      <c r="A6424" t="str">
        <f>T("   950490")</f>
        <v xml:space="preserve">   950490</v>
      </c>
      <c r="B6424" t="s">
        <v>507</v>
      </c>
      <c r="C6424">
        <v>60556</v>
      </c>
      <c r="D6424">
        <v>3000</v>
      </c>
    </row>
    <row r="6425" spans="1:4" x14ac:dyDescent="0.25">
      <c r="A6425" t="str">
        <f>T("   950590")</f>
        <v xml:space="preserve">   950590</v>
      </c>
      <c r="B6425" t="str">
        <f>T("   Articles pour fêtes, carnaval ou autres divertissements, y.c. les articles de magie et articles-surprises, n.d.a.")</f>
        <v xml:space="preserve">   Articles pour fêtes, carnaval ou autres divertissements, y.c. les articles de magie et articles-surprises, n.d.a.</v>
      </c>
      <c r="C6425">
        <v>3355178</v>
      </c>
      <c r="D6425">
        <v>7993</v>
      </c>
    </row>
    <row r="6426" spans="1:4" x14ac:dyDescent="0.25">
      <c r="A6426" t="str">
        <f>T("   960329")</f>
        <v xml:space="preserve">   960329</v>
      </c>
      <c r="B6426"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6426">
        <v>150996</v>
      </c>
      <c r="D6426">
        <v>135</v>
      </c>
    </row>
    <row r="6427" spans="1:4" x14ac:dyDescent="0.25">
      <c r="A6427" t="str">
        <f>T("   960810")</f>
        <v xml:space="preserve">   960810</v>
      </c>
      <c r="B6427" t="str">
        <f>T("   Stylos et crayons à bille")</f>
        <v xml:space="preserve">   Stylos et crayons à bille</v>
      </c>
      <c r="C6427">
        <v>159245</v>
      </c>
      <c r="D6427">
        <v>479</v>
      </c>
    </row>
    <row r="6428" spans="1:4" x14ac:dyDescent="0.25">
      <c r="A6428" t="str">
        <f>T("   960899")</f>
        <v xml:space="preserve">   960899</v>
      </c>
      <c r="B6428"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6428">
        <v>71500</v>
      </c>
      <c r="D6428">
        <v>166</v>
      </c>
    </row>
    <row r="6429" spans="1:4" x14ac:dyDescent="0.25">
      <c r="A6429" t="str">
        <f>T("IR")</f>
        <v>IR</v>
      </c>
      <c r="B6429" t="str">
        <f>T("Iran, République Islqmique d'")</f>
        <v>Iran, République Islqmique d'</v>
      </c>
    </row>
    <row r="6430" spans="1:4" x14ac:dyDescent="0.25">
      <c r="A6430" t="str">
        <f>T("   ZZ_Total_Produit_SH6")</f>
        <v xml:space="preserve">   ZZ_Total_Produit_SH6</v>
      </c>
      <c r="B6430" t="str">
        <f>T("   ZZ_Total_Produit_SH6")</f>
        <v xml:space="preserve">   ZZ_Total_Produit_SH6</v>
      </c>
      <c r="C6430">
        <v>59678585</v>
      </c>
      <c r="D6430">
        <v>70193.5</v>
      </c>
    </row>
    <row r="6431" spans="1:4" x14ac:dyDescent="0.25">
      <c r="A6431" t="str">
        <f>T("   210410")</f>
        <v xml:space="preserve">   210410</v>
      </c>
      <c r="B6431" t="str">
        <f>T("   Préparations pour soupes, potages ou bouillons; soupes, potages ou bouillons préparés")</f>
        <v xml:space="preserve">   Préparations pour soupes, potages ou bouillons; soupes, potages ou bouillons préparés</v>
      </c>
      <c r="C6431">
        <v>49351</v>
      </c>
      <c r="D6431">
        <v>270</v>
      </c>
    </row>
    <row r="6432" spans="1:4" x14ac:dyDescent="0.25">
      <c r="A6432" t="str">
        <f>T("   300490")</f>
        <v xml:space="preserve">   300490</v>
      </c>
      <c r="B6432" t="s">
        <v>79</v>
      </c>
      <c r="C6432">
        <v>9873222</v>
      </c>
      <c r="D6432">
        <v>1355</v>
      </c>
    </row>
    <row r="6433" spans="1:4" x14ac:dyDescent="0.25">
      <c r="A6433" t="str">
        <f>T("   300510")</f>
        <v xml:space="preserve">   300510</v>
      </c>
      <c r="B6433"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6433">
        <v>4939931</v>
      </c>
      <c r="D6433">
        <v>18.5</v>
      </c>
    </row>
    <row r="6434" spans="1:4" x14ac:dyDescent="0.25">
      <c r="A6434" t="str">
        <f>T("   330499")</f>
        <v xml:space="preserve">   330499</v>
      </c>
      <c r="B6434" t="s">
        <v>97</v>
      </c>
      <c r="C6434">
        <v>679037</v>
      </c>
      <c r="D6434">
        <v>470</v>
      </c>
    </row>
    <row r="6435" spans="1:4" x14ac:dyDescent="0.25">
      <c r="A6435" t="str">
        <f>T("   392390")</f>
        <v xml:space="preserve">   392390</v>
      </c>
      <c r="B6435" t="s">
        <v>142</v>
      </c>
      <c r="C6435">
        <v>141002</v>
      </c>
      <c r="D6435">
        <v>197</v>
      </c>
    </row>
    <row r="6436" spans="1:4" x14ac:dyDescent="0.25">
      <c r="A6436" t="str">
        <f>T("   392410")</f>
        <v xml:space="preserve">   392410</v>
      </c>
      <c r="B6436" t="str">
        <f>T("   Vaisselle et autres articles pour le service de la table ou de la cuisine, en matières plastiques")</f>
        <v xml:space="preserve">   Vaisselle et autres articles pour le service de la table ou de la cuisine, en matières plastiques</v>
      </c>
      <c r="C6436">
        <v>2309569</v>
      </c>
      <c r="D6436">
        <v>3398</v>
      </c>
    </row>
    <row r="6437" spans="1:4" x14ac:dyDescent="0.25">
      <c r="A6437" t="str">
        <f>T("   420299")</f>
        <v xml:space="preserve">   420299</v>
      </c>
      <c r="B6437" t="s">
        <v>160</v>
      </c>
      <c r="C6437">
        <v>386749</v>
      </c>
      <c r="D6437">
        <v>805</v>
      </c>
    </row>
    <row r="6438" spans="1:4" x14ac:dyDescent="0.25">
      <c r="A6438" t="str">
        <f>T("   570500")</f>
        <v xml:space="preserve">   570500</v>
      </c>
      <c r="B6438"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6438">
        <v>3286588</v>
      </c>
      <c r="D6438">
        <v>5015</v>
      </c>
    </row>
    <row r="6439" spans="1:4" x14ac:dyDescent="0.25">
      <c r="A6439" t="str">
        <f>T("   620590")</f>
        <v xml:space="preserve">   620590</v>
      </c>
      <c r="B643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439">
        <v>600000</v>
      </c>
      <c r="D6439">
        <v>610</v>
      </c>
    </row>
    <row r="6440" spans="1:4" x14ac:dyDescent="0.25">
      <c r="A6440" t="str">
        <f>T("   630900")</f>
        <v xml:space="preserve">   630900</v>
      </c>
      <c r="B6440" t="s">
        <v>273</v>
      </c>
      <c r="C6440">
        <v>16027070</v>
      </c>
      <c r="D6440">
        <v>26800</v>
      </c>
    </row>
    <row r="6441" spans="1:4" x14ac:dyDescent="0.25">
      <c r="A6441" t="str">
        <f>T("   691200")</f>
        <v xml:space="preserve">   691200</v>
      </c>
      <c r="B6441" t="s">
        <v>313</v>
      </c>
      <c r="C6441">
        <v>642700</v>
      </c>
      <c r="D6441">
        <v>1727</v>
      </c>
    </row>
    <row r="6442" spans="1:4" x14ac:dyDescent="0.25">
      <c r="A6442" t="str">
        <f>T("   691490")</f>
        <v xml:space="preserve">   691490</v>
      </c>
      <c r="B6442" t="str">
        <f>T("   Ouvrages en céramique autres que la porcelaine n.d.a.")</f>
        <v xml:space="preserve">   Ouvrages en céramique autres que la porcelaine n.d.a.</v>
      </c>
      <c r="C6442">
        <v>154096</v>
      </c>
      <c r="D6442">
        <v>345</v>
      </c>
    </row>
    <row r="6443" spans="1:4" x14ac:dyDescent="0.25">
      <c r="A6443" t="str">
        <f>T("   700992")</f>
        <v xml:space="preserve">   700992</v>
      </c>
      <c r="B6443" t="str">
        <f>T("   Miroirs, en verre encadrés (sauf miroirs rétroviseurs pour véhicules)")</f>
        <v xml:space="preserve">   Miroirs, en verre encadrés (sauf miroirs rétroviseurs pour véhicules)</v>
      </c>
      <c r="C6443">
        <v>65497</v>
      </c>
      <c r="D6443">
        <v>491</v>
      </c>
    </row>
    <row r="6444" spans="1:4" x14ac:dyDescent="0.25">
      <c r="A6444" t="str">
        <f>T("   732394")</f>
        <v xml:space="preserve">   732394</v>
      </c>
      <c r="B6444" t="s">
        <v>362</v>
      </c>
      <c r="C6444">
        <v>1800000</v>
      </c>
      <c r="D6444">
        <v>1200</v>
      </c>
    </row>
    <row r="6445" spans="1:4" x14ac:dyDescent="0.25">
      <c r="A6445" t="str">
        <f>T("   761519")</f>
        <v xml:space="preserve">   761519</v>
      </c>
      <c r="B6445" t="s">
        <v>373</v>
      </c>
      <c r="C6445">
        <v>110788</v>
      </c>
      <c r="D6445">
        <v>518</v>
      </c>
    </row>
    <row r="6446" spans="1:4" x14ac:dyDescent="0.25">
      <c r="A6446" t="str">
        <f>T("   841829")</f>
        <v xml:space="preserve">   841829</v>
      </c>
      <c r="B6446" t="str">
        <f>T("   Réfrigérateurs ménagers à absorption, non-électriques")</f>
        <v xml:space="preserve">   Réfrigérateurs ménagers à absorption, non-électriques</v>
      </c>
      <c r="C6446">
        <v>1047078</v>
      </c>
      <c r="D6446">
        <v>3190</v>
      </c>
    </row>
    <row r="6447" spans="1:4" x14ac:dyDescent="0.25">
      <c r="A6447" t="str">
        <f>T("   852499")</f>
        <v xml:space="preserve">   852499</v>
      </c>
      <c r="B6447" t="s">
        <v>460</v>
      </c>
      <c r="C6447">
        <v>167330</v>
      </c>
      <c r="D6447">
        <v>748</v>
      </c>
    </row>
    <row r="6448" spans="1:4" x14ac:dyDescent="0.25">
      <c r="A6448" t="str">
        <f>T("   870322")</f>
        <v xml:space="preserve">   870322</v>
      </c>
      <c r="B6448" t="s">
        <v>472</v>
      </c>
      <c r="C6448">
        <v>9962065</v>
      </c>
      <c r="D6448">
        <v>1650</v>
      </c>
    </row>
    <row r="6449" spans="1:4" x14ac:dyDescent="0.25">
      <c r="A6449" t="str">
        <f>T("   940350")</f>
        <v xml:space="preserve">   940350</v>
      </c>
      <c r="B6449" t="str">
        <f>T("   Meubles pour chambres à coucher, en bois (sauf sièges)")</f>
        <v xml:space="preserve">   Meubles pour chambres à coucher, en bois (sauf sièges)</v>
      </c>
      <c r="C6449">
        <v>2600000</v>
      </c>
      <c r="D6449">
        <v>2650</v>
      </c>
    </row>
    <row r="6450" spans="1:4" x14ac:dyDescent="0.25">
      <c r="A6450" t="str">
        <f>T("   940380")</f>
        <v xml:space="preserve">   940380</v>
      </c>
      <c r="B6450" t="str">
        <f>T("   Meubles en rotin, osier, bambou ou autres matières (sauf métal, bois et matières plastiques)")</f>
        <v xml:space="preserve">   Meubles en rotin, osier, bambou ou autres matières (sauf métal, bois et matières plastiques)</v>
      </c>
      <c r="C6450">
        <v>2723724</v>
      </c>
      <c r="D6450">
        <v>13796</v>
      </c>
    </row>
    <row r="6451" spans="1:4" x14ac:dyDescent="0.25">
      <c r="A6451" t="str">
        <f>T("   940510")</f>
        <v xml:space="preserve">   940510</v>
      </c>
      <c r="B6451"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6451">
        <v>458045</v>
      </c>
      <c r="D6451">
        <v>383</v>
      </c>
    </row>
    <row r="6452" spans="1:4" x14ac:dyDescent="0.25">
      <c r="A6452" t="str">
        <f>T("   950390")</f>
        <v xml:space="preserve">   950390</v>
      </c>
      <c r="B6452" t="str">
        <f>T("   Jouets, n.d.a.")</f>
        <v xml:space="preserve">   Jouets, n.d.a.</v>
      </c>
      <c r="C6452">
        <v>498187</v>
      </c>
      <c r="D6452">
        <v>615</v>
      </c>
    </row>
    <row r="6453" spans="1:4" x14ac:dyDescent="0.25">
      <c r="A6453" t="str">
        <f>T("   950699")</f>
        <v xml:space="preserve">   950699</v>
      </c>
      <c r="B6453" t="str">
        <f>T("   Articles et matériel pour le sport et les jeux de plein air, n.d.a.; piscines et pataugeoires")</f>
        <v xml:space="preserve">   Articles et matériel pour le sport et les jeux de plein air, n.d.a.; piscines et pataugeoires</v>
      </c>
      <c r="C6453">
        <v>64228</v>
      </c>
      <c r="D6453">
        <v>1149</v>
      </c>
    </row>
    <row r="6454" spans="1:4" x14ac:dyDescent="0.25">
      <c r="A6454" t="str">
        <f>T("   970190")</f>
        <v xml:space="preserve">   970190</v>
      </c>
      <c r="B6454" t="str">
        <f>T("   Collages et tableautins simil.")</f>
        <v xml:space="preserve">   Collages et tableautins simil.</v>
      </c>
      <c r="C6454">
        <v>324941</v>
      </c>
      <c r="D6454">
        <v>1476</v>
      </c>
    </row>
    <row r="6455" spans="1:4" x14ac:dyDescent="0.25">
      <c r="A6455" t="str">
        <f>T("   970300")</f>
        <v xml:space="preserve">   970300</v>
      </c>
      <c r="B6455" t="str">
        <f>T("   Productions originales de l'art statuaire ou de la sculpture, en toutes matières")</f>
        <v xml:space="preserve">   Productions originales de l'art statuaire ou de la sculpture, en toutes matières</v>
      </c>
      <c r="C6455">
        <v>767387</v>
      </c>
      <c r="D6455">
        <v>1317</v>
      </c>
    </row>
    <row r="6456" spans="1:4" x14ac:dyDescent="0.25">
      <c r="A6456" t="str">
        <f>T("IS")</f>
        <v>IS</v>
      </c>
      <c r="B6456" t="str">
        <f>T("Islande")</f>
        <v>Islande</v>
      </c>
    </row>
    <row r="6457" spans="1:4" x14ac:dyDescent="0.25">
      <c r="A6457" t="str">
        <f>T("   ZZ_Total_Produit_SH6")</f>
        <v xml:space="preserve">   ZZ_Total_Produit_SH6</v>
      </c>
      <c r="B6457" t="str">
        <f>T("   ZZ_Total_Produit_SH6")</f>
        <v xml:space="preserve">   ZZ_Total_Produit_SH6</v>
      </c>
      <c r="C6457">
        <v>2879497</v>
      </c>
      <c r="D6457">
        <v>404</v>
      </c>
    </row>
    <row r="6458" spans="1:4" x14ac:dyDescent="0.25">
      <c r="A6458" t="str">
        <f>T("   730799")</f>
        <v xml:space="preserve">   730799</v>
      </c>
      <c r="B6458"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6458">
        <v>19416</v>
      </c>
      <c r="D6458">
        <v>9</v>
      </c>
    </row>
    <row r="6459" spans="1:4" x14ac:dyDescent="0.25">
      <c r="A6459" t="str">
        <f>T("   842139")</f>
        <v xml:space="preserve">   842139</v>
      </c>
      <c r="B6459"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6459">
        <v>506863</v>
      </c>
      <c r="D6459">
        <v>232</v>
      </c>
    </row>
    <row r="6460" spans="1:4" x14ac:dyDescent="0.25">
      <c r="A6460" t="str">
        <f>T("   843149")</f>
        <v xml:space="preserve">   843149</v>
      </c>
      <c r="B6460" t="str">
        <f>T("   Parties de machines et appareils du n° 8426, 8429 ou 8430, n.d.a.")</f>
        <v xml:space="preserve">   Parties de machines et appareils du n° 8426, 8429 ou 8430, n.d.a.</v>
      </c>
      <c r="C6460">
        <v>419810</v>
      </c>
      <c r="D6460">
        <v>22</v>
      </c>
    </row>
    <row r="6461" spans="1:4" x14ac:dyDescent="0.25">
      <c r="A6461" t="str">
        <f>T("   851780")</f>
        <v xml:space="preserve">   851780</v>
      </c>
      <c r="B6461" t="s">
        <v>453</v>
      </c>
      <c r="C6461">
        <v>1933408</v>
      </c>
      <c r="D6461">
        <v>141</v>
      </c>
    </row>
    <row r="6462" spans="1:4" x14ac:dyDescent="0.25">
      <c r="A6462" t="str">
        <f>T("IT")</f>
        <v>IT</v>
      </c>
      <c r="B6462" t="str">
        <f>T("Italie")</f>
        <v>Italie</v>
      </c>
    </row>
    <row r="6463" spans="1:4" x14ac:dyDescent="0.25">
      <c r="A6463" t="str">
        <f>T("   ZZ_Total_Produit_SH6")</f>
        <v xml:space="preserve">   ZZ_Total_Produit_SH6</v>
      </c>
      <c r="B6463" t="str">
        <f>T("   ZZ_Total_Produit_SH6")</f>
        <v xml:space="preserve">   ZZ_Total_Produit_SH6</v>
      </c>
      <c r="C6463">
        <v>14802868604.285999</v>
      </c>
      <c r="D6463">
        <v>20091497.199999999</v>
      </c>
    </row>
    <row r="6464" spans="1:4" x14ac:dyDescent="0.25">
      <c r="A6464" t="str">
        <f>T("   020712")</f>
        <v xml:space="preserve">   020712</v>
      </c>
      <c r="B6464" t="str">
        <f>T("   COQS ET POULES [DES ESPÈCES DOMESTIQUES], NON-DÉCOUPÉS EN MORCEAUX, CONGELÉS")</f>
        <v xml:space="preserve">   COQS ET POULES [DES ESPÈCES DOMESTIQUES], NON-DÉCOUPÉS EN MORCEAUX, CONGELÉS</v>
      </c>
      <c r="C6464">
        <v>3024144035</v>
      </c>
      <c r="D6464">
        <v>5076500</v>
      </c>
    </row>
    <row r="6465" spans="1:4" x14ac:dyDescent="0.25">
      <c r="A6465" t="str">
        <f>T("   020714")</f>
        <v xml:space="preserve">   020714</v>
      </c>
      <c r="B6465" t="str">
        <f>T("   Morceaux et abats comestibles de coqs et de poules [des espèces domestiques], congelés")</f>
        <v xml:space="preserve">   Morceaux et abats comestibles de coqs et de poules [des espèces domestiques], congelés</v>
      </c>
      <c r="C6465">
        <v>1368439113</v>
      </c>
      <c r="D6465">
        <v>2228716</v>
      </c>
    </row>
    <row r="6466" spans="1:4" x14ac:dyDescent="0.25">
      <c r="A6466" t="str">
        <f>T("   020727")</f>
        <v xml:space="preserve">   020727</v>
      </c>
      <c r="B6466" t="str">
        <f>T("   Morceaux et abats comestibles de dindes et dindons [des espèces domestiques], congelés")</f>
        <v xml:space="preserve">   Morceaux et abats comestibles de dindes et dindons [des espèces domestiques], congelés</v>
      </c>
      <c r="C6466">
        <v>1081432339</v>
      </c>
      <c r="D6466">
        <v>1768995</v>
      </c>
    </row>
    <row r="6467" spans="1:4" x14ac:dyDescent="0.25">
      <c r="A6467" t="str">
        <f>T("   040221")</f>
        <v xml:space="preserve">   040221</v>
      </c>
      <c r="B6467"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6467">
        <v>426112</v>
      </c>
      <c r="D6467">
        <v>200</v>
      </c>
    </row>
    <row r="6468" spans="1:4" x14ac:dyDescent="0.25">
      <c r="A6468" t="str">
        <f>T("   040229")</f>
        <v xml:space="preserve">   040229</v>
      </c>
      <c r="B6468"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6468">
        <v>6886604</v>
      </c>
      <c r="D6468">
        <v>1038</v>
      </c>
    </row>
    <row r="6469" spans="1:4" x14ac:dyDescent="0.25">
      <c r="A6469" t="str">
        <f>T("   040299")</f>
        <v xml:space="preserve">   040299</v>
      </c>
      <c r="B6469"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6469">
        <v>21646680</v>
      </c>
      <c r="D6469">
        <v>48000</v>
      </c>
    </row>
    <row r="6470" spans="1:4" x14ac:dyDescent="0.25">
      <c r="A6470" t="str">
        <f>T("   070810")</f>
        <v xml:space="preserve">   070810</v>
      </c>
      <c r="B6470" t="str">
        <f>T("   Pois 'Pisum sativum', écossés ou non, à l'état frais ou réfrigéré")</f>
        <v xml:space="preserve">   Pois 'Pisum sativum', écossés ou non, à l'état frais ou réfrigéré</v>
      </c>
      <c r="C6470">
        <v>58152475</v>
      </c>
      <c r="D6470">
        <v>230560</v>
      </c>
    </row>
    <row r="6471" spans="1:4" x14ac:dyDescent="0.25">
      <c r="A6471" t="str">
        <f>T("   080610")</f>
        <v xml:space="preserve">   080610</v>
      </c>
      <c r="B6471" t="str">
        <f>T("   Raisins, frais")</f>
        <v xml:space="preserve">   Raisins, frais</v>
      </c>
      <c r="C6471">
        <v>64585284</v>
      </c>
      <c r="D6471">
        <v>170583</v>
      </c>
    </row>
    <row r="6472" spans="1:4" x14ac:dyDescent="0.25">
      <c r="A6472" t="str">
        <f>T("   080810")</f>
        <v xml:space="preserve">   080810</v>
      </c>
      <c r="B6472" t="str">
        <f>T("   Pommes, fraîches")</f>
        <v xml:space="preserve">   Pommes, fraîches</v>
      </c>
      <c r="C6472">
        <v>15149355</v>
      </c>
      <c r="D6472">
        <v>41236</v>
      </c>
    </row>
    <row r="6473" spans="1:4" x14ac:dyDescent="0.25">
      <c r="A6473" t="str">
        <f>T("   090121")</f>
        <v xml:space="preserve">   090121</v>
      </c>
      <c r="B6473" t="str">
        <f>T("   Café, torréfié, non décaféiné")</f>
        <v xml:space="preserve">   Café, torréfié, non décaféiné</v>
      </c>
      <c r="C6473">
        <v>12736126</v>
      </c>
      <c r="D6473">
        <v>1640.3</v>
      </c>
    </row>
    <row r="6474" spans="1:4" x14ac:dyDescent="0.25">
      <c r="A6474" t="str">
        <f>T("   090122")</f>
        <v xml:space="preserve">   090122</v>
      </c>
      <c r="B6474" t="str">
        <f>T("   Café, torréfié, décaféiné")</f>
        <v xml:space="preserve">   Café, torréfié, décaféiné</v>
      </c>
      <c r="C6474">
        <v>199261</v>
      </c>
      <c r="D6474">
        <v>55.7</v>
      </c>
    </row>
    <row r="6475" spans="1:4" x14ac:dyDescent="0.25">
      <c r="A6475" t="str">
        <f>T("   100630")</f>
        <v xml:space="preserve">   100630</v>
      </c>
      <c r="B6475" t="str">
        <f>T("   Riz semi-blanchi ou blanchi, même poli ou glacé")</f>
        <v xml:space="preserve">   Riz semi-blanchi ou blanchi, même poli ou glacé</v>
      </c>
      <c r="C6475">
        <v>83276.285999999993</v>
      </c>
      <c r="D6475">
        <v>300</v>
      </c>
    </row>
    <row r="6476" spans="1:4" x14ac:dyDescent="0.25">
      <c r="A6476" t="str">
        <f>T("   110290")</f>
        <v xml:space="preserve">   110290</v>
      </c>
      <c r="B6476" t="str">
        <f>T("   FARINES DE CÉRÉALES (À L'EXCL. DES FARINES DE FROMENT [BLÉ], DE MÉTEIL, DE SEIGLE ET DE MAÏS)")</f>
        <v xml:space="preserve">   FARINES DE CÉRÉALES (À L'EXCL. DES FARINES DE FROMENT [BLÉ], DE MÉTEIL, DE SEIGLE ET DE MAÏS)</v>
      </c>
      <c r="C6476">
        <v>70580886</v>
      </c>
      <c r="D6476">
        <v>229986</v>
      </c>
    </row>
    <row r="6477" spans="1:4" x14ac:dyDescent="0.25">
      <c r="A6477" t="str">
        <f>T("   140490")</f>
        <v xml:space="preserve">   140490</v>
      </c>
      <c r="B6477" t="str">
        <f>T("   Produits végétaux, n.d.a.")</f>
        <v xml:space="preserve">   Produits végétaux, n.d.a.</v>
      </c>
      <c r="C6477">
        <v>1007502</v>
      </c>
      <c r="D6477">
        <v>371</v>
      </c>
    </row>
    <row r="6478" spans="1:4" x14ac:dyDescent="0.25">
      <c r="A6478" t="str">
        <f>T("   150910")</f>
        <v xml:space="preserve">   150910</v>
      </c>
      <c r="B6478" t="str">
        <f>T("   Huile d'olive vierge et ses fractions, obtenues, à partir des fruits de l'olivier, uniquement par des procédés mécaniques ou physiques, dans des conditions n'altérant pas l'huile")</f>
        <v xml:space="preserve">   Huile d'olive vierge et ses fractions, obtenues, à partir des fruits de l'olivier, uniquement par des procédés mécaniques ou physiques, dans des conditions n'altérant pas l'huile</v>
      </c>
      <c r="C6478">
        <v>2283397</v>
      </c>
      <c r="D6478">
        <v>1244</v>
      </c>
    </row>
    <row r="6479" spans="1:4" x14ac:dyDescent="0.25">
      <c r="A6479" t="str">
        <f>T("   150990")</f>
        <v xml:space="preserve">   150990</v>
      </c>
      <c r="B6479"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6479">
        <v>7389390</v>
      </c>
      <c r="D6479">
        <v>22070</v>
      </c>
    </row>
    <row r="6480" spans="1:4" x14ac:dyDescent="0.25">
      <c r="A6480" t="str">
        <f>T("   160100")</f>
        <v xml:space="preserve">   160100</v>
      </c>
      <c r="B6480" t="str">
        <f>T("   Saucisses, saucissons et produits simil., de viande, d'abats ou de sang; préparations alimentaires à base de ces produits")</f>
        <v xml:space="preserve">   Saucisses, saucissons et produits simil., de viande, d'abats ou de sang; préparations alimentaires à base de ces produits</v>
      </c>
      <c r="C6480">
        <v>18538742</v>
      </c>
      <c r="D6480">
        <v>30504</v>
      </c>
    </row>
    <row r="6481" spans="1:4" x14ac:dyDescent="0.25">
      <c r="A6481" t="str">
        <f>T("   190190")</f>
        <v xml:space="preserve">   190190</v>
      </c>
      <c r="B6481" t="s">
        <v>50</v>
      </c>
      <c r="C6481">
        <v>6337039</v>
      </c>
      <c r="D6481">
        <v>6868</v>
      </c>
    </row>
    <row r="6482" spans="1:4" x14ac:dyDescent="0.25">
      <c r="A6482" t="str">
        <f>T("   190211")</f>
        <v xml:space="preserve">   190211</v>
      </c>
      <c r="B6482" t="str">
        <f>T("   Pâtes alimentaires non cuites ni farcies ni autrement préparées, contenant des oeufs")</f>
        <v xml:space="preserve">   Pâtes alimentaires non cuites ni farcies ni autrement préparées, contenant des oeufs</v>
      </c>
      <c r="C6482">
        <v>263040</v>
      </c>
      <c r="D6482">
        <v>870</v>
      </c>
    </row>
    <row r="6483" spans="1:4" x14ac:dyDescent="0.25">
      <c r="A6483" t="str">
        <f>T("   190219")</f>
        <v xml:space="preserve">   190219</v>
      </c>
      <c r="B6483" t="str">
        <f>T("   PÂTES ALIMENTAIRES NON-CUITES NI FARCIES NI AUTREMENT PRÉPARÉES, NE CONTENANT PAS D'OEUFS")</f>
        <v xml:space="preserve">   PÂTES ALIMENTAIRES NON-CUITES NI FARCIES NI AUTREMENT PRÉPARÉES, NE CONTENANT PAS D'OEUFS</v>
      </c>
      <c r="C6483">
        <v>95307699</v>
      </c>
      <c r="D6483">
        <v>409745</v>
      </c>
    </row>
    <row r="6484" spans="1:4" x14ac:dyDescent="0.25">
      <c r="A6484" t="str">
        <f>T("   190220")</f>
        <v xml:space="preserve">   190220</v>
      </c>
      <c r="B6484" t="str">
        <f>T("   Pâtes alimentaires, farcies de viande ou d'autres substances, même cuites ou autrement préparées")</f>
        <v xml:space="preserve">   Pâtes alimentaires, farcies de viande ou d'autres substances, même cuites ou autrement préparées</v>
      </c>
      <c r="C6484">
        <v>25000</v>
      </c>
      <c r="D6484">
        <v>610</v>
      </c>
    </row>
    <row r="6485" spans="1:4" x14ac:dyDescent="0.25">
      <c r="A6485" t="str">
        <f>T("   190230")</f>
        <v xml:space="preserve">   190230</v>
      </c>
      <c r="B6485" t="str">
        <f>T("   Pâtes alimentaires, cuites ou autrement préparées (à l'excl. des pâtes alimentaires farcies)")</f>
        <v xml:space="preserve">   Pâtes alimentaires, cuites ou autrement préparées (à l'excl. des pâtes alimentaires farcies)</v>
      </c>
      <c r="C6485">
        <v>9883935</v>
      </c>
      <c r="D6485">
        <v>43550</v>
      </c>
    </row>
    <row r="6486" spans="1:4" x14ac:dyDescent="0.25">
      <c r="A6486" t="str">
        <f>T("   190532")</f>
        <v xml:space="preserve">   190532</v>
      </c>
      <c r="B6486" t="str">
        <f>T("   GAUFRES ET GAUFRETTES")</f>
        <v xml:space="preserve">   GAUFRES ET GAUFRETTES</v>
      </c>
      <c r="C6486">
        <v>3300791</v>
      </c>
      <c r="D6486">
        <v>1498</v>
      </c>
    </row>
    <row r="6487" spans="1:4" x14ac:dyDescent="0.25">
      <c r="A6487" t="str">
        <f>T("   190590")</f>
        <v xml:space="preserve">   190590</v>
      </c>
      <c r="B6487" t="s">
        <v>52</v>
      </c>
      <c r="C6487">
        <v>29013700</v>
      </c>
      <c r="D6487">
        <v>19284</v>
      </c>
    </row>
    <row r="6488" spans="1:4" x14ac:dyDescent="0.25">
      <c r="A6488" t="str">
        <f>T("   200210")</f>
        <v xml:space="preserve">   200210</v>
      </c>
      <c r="B6488" t="str">
        <f>T("   Tomates, entières ou en morceaux, préparées ou conservées autrement qu'au vinaigre ou à l'acide acétique")</f>
        <v xml:space="preserve">   Tomates, entières ou en morceaux, préparées ou conservées autrement qu'au vinaigre ou à l'acide acétique</v>
      </c>
      <c r="C6488">
        <v>3471820</v>
      </c>
      <c r="D6488">
        <v>10766</v>
      </c>
    </row>
    <row r="6489" spans="1:4" x14ac:dyDescent="0.25">
      <c r="A6489" t="str">
        <f>T("   200290")</f>
        <v xml:space="preserve">   200290</v>
      </c>
      <c r="B6489"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6489">
        <v>145589519</v>
      </c>
      <c r="D6489">
        <v>383198</v>
      </c>
    </row>
    <row r="6490" spans="1:4" x14ac:dyDescent="0.25">
      <c r="A6490" t="str">
        <f>T("   200590")</f>
        <v xml:space="preserve">   200590</v>
      </c>
      <c r="B6490" t="s">
        <v>53</v>
      </c>
      <c r="C6490">
        <v>524768</v>
      </c>
      <c r="D6490">
        <v>638</v>
      </c>
    </row>
    <row r="6491" spans="1:4" x14ac:dyDescent="0.25">
      <c r="A6491" t="str">
        <f>T("   210390")</f>
        <v xml:space="preserve">   210390</v>
      </c>
      <c r="B6491"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6491">
        <v>364130</v>
      </c>
      <c r="D6491">
        <v>576</v>
      </c>
    </row>
    <row r="6492" spans="1:4" x14ac:dyDescent="0.25">
      <c r="A6492" t="str">
        <f>T("   210610")</f>
        <v xml:space="preserve">   210610</v>
      </c>
      <c r="B6492" t="str">
        <f>T("   Concentrats de protéines et substances protéiques texturées")</f>
        <v xml:space="preserve">   Concentrats de protéines et substances protéiques texturées</v>
      </c>
      <c r="C6492">
        <v>938424</v>
      </c>
      <c r="D6492">
        <v>1760</v>
      </c>
    </row>
    <row r="6493" spans="1:4" x14ac:dyDescent="0.25">
      <c r="A6493" t="str">
        <f>T("   210690")</f>
        <v xml:space="preserve">   210690</v>
      </c>
      <c r="B6493" t="str">
        <f>T("   Préparations alimentaires, n.d.a.")</f>
        <v xml:space="preserve">   Préparations alimentaires, n.d.a.</v>
      </c>
      <c r="C6493">
        <v>4213982</v>
      </c>
      <c r="D6493">
        <v>4008</v>
      </c>
    </row>
    <row r="6494" spans="1:4" x14ac:dyDescent="0.25">
      <c r="A6494" t="str">
        <f>T("   220110")</f>
        <v xml:space="preserve">   220110</v>
      </c>
      <c r="B6494" t="str">
        <f>T("   Eaux minérales et eaux gazéifiées, non additionnées de sucre ou d'autres édulcorants ni aromatisées")</f>
        <v xml:space="preserve">   Eaux minérales et eaux gazéifiées, non additionnées de sucre ou d'autres édulcorants ni aromatisées</v>
      </c>
      <c r="C6494">
        <v>10496</v>
      </c>
      <c r="D6494">
        <v>50</v>
      </c>
    </row>
    <row r="6495" spans="1:4" x14ac:dyDescent="0.25">
      <c r="A6495" t="str">
        <f>T("   220410")</f>
        <v xml:space="preserve">   220410</v>
      </c>
      <c r="B6495" t="str">
        <f>T("   Vins mousseux produits à partir de raisins frais")</f>
        <v xml:space="preserve">   Vins mousseux produits à partir de raisins frais</v>
      </c>
      <c r="C6495">
        <v>8857428</v>
      </c>
      <c r="D6495">
        <v>12897</v>
      </c>
    </row>
    <row r="6496" spans="1:4" x14ac:dyDescent="0.25">
      <c r="A6496" t="str">
        <f>T("   220421")</f>
        <v xml:space="preserve">   220421</v>
      </c>
      <c r="B6496"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6496">
        <v>23033708</v>
      </c>
      <c r="D6496">
        <v>32958</v>
      </c>
    </row>
    <row r="6497" spans="1:4" x14ac:dyDescent="0.25">
      <c r="A6497" t="str">
        <f>T("   220429")</f>
        <v xml:space="preserve">   220429</v>
      </c>
      <c r="B6497"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6497">
        <v>6789640</v>
      </c>
      <c r="D6497">
        <v>44832</v>
      </c>
    </row>
    <row r="6498" spans="1:4" x14ac:dyDescent="0.25">
      <c r="A6498" t="str">
        <f>T("   220510")</f>
        <v xml:space="preserve">   220510</v>
      </c>
      <c r="B6498"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6498">
        <v>33773681</v>
      </c>
      <c r="D6498">
        <v>50317</v>
      </c>
    </row>
    <row r="6499" spans="1:4" x14ac:dyDescent="0.25">
      <c r="A6499" t="str">
        <f>T("   220820")</f>
        <v xml:space="preserve">   220820</v>
      </c>
      <c r="B6499" t="str">
        <f>T("   Eaux-de-vie de vin ou de marc de raisins")</f>
        <v xml:space="preserve">   Eaux-de-vie de vin ou de marc de raisins</v>
      </c>
      <c r="C6499">
        <v>1488419</v>
      </c>
      <c r="D6499">
        <v>2361</v>
      </c>
    </row>
    <row r="6500" spans="1:4" x14ac:dyDescent="0.25">
      <c r="A6500" t="str">
        <f>T("   250100")</f>
        <v xml:space="preserve">   250100</v>
      </c>
      <c r="B6500" t="s">
        <v>65</v>
      </c>
      <c r="C6500">
        <v>1790000</v>
      </c>
      <c r="D6500">
        <v>20000</v>
      </c>
    </row>
    <row r="6501" spans="1:4" x14ac:dyDescent="0.25">
      <c r="A6501" t="str">
        <f>T("   250510")</f>
        <v xml:space="preserve">   250510</v>
      </c>
      <c r="B6501" t="str">
        <f>T("   Sables siliceux et sables quartzeux, même colorés")</f>
        <v xml:space="preserve">   Sables siliceux et sables quartzeux, même colorés</v>
      </c>
      <c r="C6501">
        <v>7160062</v>
      </c>
      <c r="D6501">
        <v>48380</v>
      </c>
    </row>
    <row r="6502" spans="1:4" x14ac:dyDescent="0.25">
      <c r="A6502" t="str">
        <f>T("   251512")</f>
        <v xml:space="preserve">   251512</v>
      </c>
      <c r="B6502" t="str">
        <f>T("   MARBRES ET TRAVERTINS, SIMPL. DÉBITÉS, PAR SCIAGE OU AUTREMENT, EN BLOCS OU EN PLAQUES DE FORME CARRÉE OU RECTANGULAIRE")</f>
        <v xml:space="preserve">   MARBRES ET TRAVERTINS, SIMPL. DÉBITÉS, PAR SCIAGE OU AUTREMENT, EN BLOCS OU EN PLAQUES DE FORME CARRÉE OU RECTANGULAIRE</v>
      </c>
      <c r="C6502">
        <v>9504861</v>
      </c>
      <c r="D6502">
        <v>80000</v>
      </c>
    </row>
    <row r="6503" spans="1:4" x14ac:dyDescent="0.25">
      <c r="A6503" t="str">
        <f>T("   251710")</f>
        <v xml:space="preserve">   251710</v>
      </c>
      <c r="B6503" t="str">
        <f>T("   Cailloux, graviers, pierres concassées, des types généralement utilisés pour le bétonnage ou pour l'empierrement des routes, des voies ferrées ou autres ballasts, galets et silex, même traités thermiquement")</f>
        <v xml:space="preserve">   Cailloux, graviers, pierres concassées, des types généralement utilisés pour le bétonnage ou pour l'empierrement des routes, des voies ferrées ou autres ballasts, galets et silex, même traités thermiquement</v>
      </c>
      <c r="C6503">
        <v>3226582</v>
      </c>
      <c r="D6503">
        <v>24000</v>
      </c>
    </row>
    <row r="6504" spans="1:4" x14ac:dyDescent="0.25">
      <c r="A6504" t="str">
        <f>T("   251741")</f>
        <v xml:space="preserve">   251741</v>
      </c>
      <c r="B6504" t="str">
        <f>T("   Granulés, éclats et poudres de marbre, même traités thermiquement")</f>
        <v xml:space="preserve">   Granulés, éclats et poudres de marbre, même traités thermiquement</v>
      </c>
      <c r="C6504">
        <v>3229940</v>
      </c>
      <c r="D6504">
        <v>24224</v>
      </c>
    </row>
    <row r="6505" spans="1:4" x14ac:dyDescent="0.25">
      <c r="A6505" t="str">
        <f>T("   271011")</f>
        <v xml:space="preserve">   271011</v>
      </c>
      <c r="B6505"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6505">
        <v>27955395</v>
      </c>
      <c r="D6505">
        <v>82386</v>
      </c>
    </row>
    <row r="6506" spans="1:4" x14ac:dyDescent="0.25">
      <c r="A6506" t="str">
        <f>T("   271019")</f>
        <v xml:space="preserve">   271019</v>
      </c>
      <c r="B6506" t="str">
        <f>T("   Huiles moyennes et préparations, de pétrole ou de minéraux bitumineux, n.d.a.")</f>
        <v xml:space="preserve">   Huiles moyennes et préparations, de pétrole ou de minéraux bitumineux, n.d.a.</v>
      </c>
      <c r="C6506">
        <v>169848</v>
      </c>
      <c r="D6506">
        <v>114</v>
      </c>
    </row>
    <row r="6507" spans="1:4" x14ac:dyDescent="0.25">
      <c r="A6507" t="str">
        <f>T("   271500")</f>
        <v xml:space="preserve">   271500</v>
      </c>
      <c r="B6507"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6507">
        <v>161191018</v>
      </c>
      <c r="D6507">
        <v>426140</v>
      </c>
    </row>
    <row r="6508" spans="1:4" x14ac:dyDescent="0.25">
      <c r="A6508" t="str">
        <f>T("   280700")</f>
        <v xml:space="preserve">   280700</v>
      </c>
      <c r="B6508" t="str">
        <f>T("   Acide sulfurique; oléum")</f>
        <v xml:space="preserve">   Acide sulfurique; oléum</v>
      </c>
      <c r="C6508">
        <v>4622143</v>
      </c>
      <c r="D6508">
        <v>1795</v>
      </c>
    </row>
    <row r="6509" spans="1:4" x14ac:dyDescent="0.25">
      <c r="A6509" t="str">
        <f>T("   281511")</f>
        <v xml:space="preserve">   281511</v>
      </c>
      <c r="B6509" t="str">
        <f>T("   Hydroxyde de sodium [soude caustique], solide")</f>
        <v xml:space="preserve">   Hydroxyde de sodium [soude caustique], solide</v>
      </c>
      <c r="C6509">
        <v>68086024</v>
      </c>
      <c r="D6509">
        <v>147048</v>
      </c>
    </row>
    <row r="6510" spans="1:4" x14ac:dyDescent="0.25">
      <c r="A6510" t="str">
        <f>T("   282300")</f>
        <v xml:space="preserve">   282300</v>
      </c>
      <c r="B6510" t="str">
        <f>T("   Oxydes de titane")</f>
        <v xml:space="preserve">   Oxydes de titane</v>
      </c>
      <c r="C6510">
        <v>37904649</v>
      </c>
      <c r="D6510">
        <v>20000</v>
      </c>
    </row>
    <row r="6511" spans="1:4" x14ac:dyDescent="0.25">
      <c r="A6511" t="str">
        <f>T("   283523")</f>
        <v xml:space="preserve">   283523</v>
      </c>
      <c r="B6511" t="str">
        <f>T("   PHOSPHATE DE TRISODIUM")</f>
        <v xml:space="preserve">   PHOSPHATE DE TRISODIUM</v>
      </c>
      <c r="C6511">
        <v>589052</v>
      </c>
      <c r="D6511">
        <v>300</v>
      </c>
    </row>
    <row r="6512" spans="1:4" x14ac:dyDescent="0.25">
      <c r="A6512" t="str">
        <f>T("   283539")</f>
        <v xml:space="preserve">   283539</v>
      </c>
      <c r="B6512" t="str">
        <f>T("   Polyphosphates, de constitution chimique définie ou non (à l'excl. du triphosphate de sodium [tripolyphosphate de sodium])")</f>
        <v xml:space="preserve">   Polyphosphates, de constitution chimique définie ou non (à l'excl. du triphosphate de sodium [tripolyphosphate de sodium])</v>
      </c>
      <c r="C6512">
        <v>394232</v>
      </c>
      <c r="D6512">
        <v>200</v>
      </c>
    </row>
    <row r="6513" spans="1:4" x14ac:dyDescent="0.25">
      <c r="A6513" t="str">
        <f>T("   283650")</f>
        <v xml:space="preserve">   283650</v>
      </c>
      <c r="B6513" t="str">
        <f>T("   Carbonate de calcium")</f>
        <v xml:space="preserve">   Carbonate de calcium</v>
      </c>
      <c r="C6513">
        <v>22120988</v>
      </c>
      <c r="D6513">
        <v>211200</v>
      </c>
    </row>
    <row r="6514" spans="1:4" x14ac:dyDescent="0.25">
      <c r="A6514" t="str">
        <f>T("   290241")</f>
        <v xml:space="preserve">   290241</v>
      </c>
      <c r="B6514" t="str">
        <f>T("   o-Xylène")</f>
        <v xml:space="preserve">   o-Xylène</v>
      </c>
      <c r="C6514">
        <v>71008924</v>
      </c>
      <c r="D6514">
        <v>134674</v>
      </c>
    </row>
    <row r="6515" spans="1:4" x14ac:dyDescent="0.25">
      <c r="A6515" t="str">
        <f>T("   300220")</f>
        <v xml:space="preserve">   300220</v>
      </c>
      <c r="B6515" t="str">
        <f>T("   Vaccins pour la médecine humaine")</f>
        <v xml:space="preserve">   Vaccins pour la médecine humaine</v>
      </c>
      <c r="C6515">
        <v>188240745</v>
      </c>
      <c r="D6515">
        <v>2218</v>
      </c>
    </row>
    <row r="6516" spans="1:4" x14ac:dyDescent="0.25">
      <c r="A6516" t="str">
        <f>T("   300490")</f>
        <v xml:space="preserve">   300490</v>
      </c>
      <c r="B6516" t="s">
        <v>79</v>
      </c>
      <c r="C6516">
        <v>170132167</v>
      </c>
      <c r="D6516">
        <v>262827</v>
      </c>
    </row>
    <row r="6517" spans="1:4" x14ac:dyDescent="0.25">
      <c r="A6517" t="str">
        <f>T("   300620")</f>
        <v xml:space="preserve">   300620</v>
      </c>
      <c r="B6517" t="str">
        <f>T("   Réactifs destinés à la détermination des groupes ou des facteurs sanguins")</f>
        <v xml:space="preserve">   Réactifs destinés à la détermination des groupes ou des facteurs sanguins</v>
      </c>
      <c r="C6517">
        <v>736932</v>
      </c>
      <c r="D6517">
        <v>800</v>
      </c>
    </row>
    <row r="6518" spans="1:4" x14ac:dyDescent="0.25">
      <c r="A6518" t="str">
        <f>T("   320910")</f>
        <v xml:space="preserve">   320910</v>
      </c>
      <c r="B6518" t="str">
        <f>T("   Peintures et vernis à base de polymères acryliques ou vinyliques, dispersés ou dissous dans un milieu aqueux")</f>
        <v xml:space="preserve">   Peintures et vernis à base de polymères acryliques ou vinyliques, dispersés ou dissous dans un milieu aqueux</v>
      </c>
      <c r="C6518">
        <v>1359638</v>
      </c>
      <c r="D6518">
        <v>925</v>
      </c>
    </row>
    <row r="6519" spans="1:4" x14ac:dyDescent="0.25">
      <c r="A6519" t="str">
        <f>T("   320990")</f>
        <v xml:space="preserve">   320990</v>
      </c>
      <c r="B6519"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6519">
        <v>2273925</v>
      </c>
      <c r="D6519">
        <v>1700</v>
      </c>
    </row>
    <row r="6520" spans="1:4" x14ac:dyDescent="0.25">
      <c r="A6520" t="str">
        <f>T("   321410")</f>
        <v xml:space="preserve">   321410</v>
      </c>
      <c r="B6520" t="str">
        <f>T("   Mastic de vitrier, ciments de résine et autres mastics; enduits utilisés en peinture")</f>
        <v xml:space="preserve">   Mastic de vitrier, ciments de résine et autres mastics; enduits utilisés en peinture</v>
      </c>
      <c r="C6520">
        <v>2038921</v>
      </c>
      <c r="D6520">
        <v>27200</v>
      </c>
    </row>
    <row r="6521" spans="1:4" x14ac:dyDescent="0.25">
      <c r="A6521" t="str">
        <f>T("   321511")</f>
        <v xml:space="preserve">   321511</v>
      </c>
      <c r="B6521" t="str">
        <f>T("   Encres d'imprimerie, noires, même concentrées ou sous formes solides")</f>
        <v xml:space="preserve">   Encres d'imprimerie, noires, même concentrées ou sous formes solides</v>
      </c>
      <c r="C6521">
        <v>253200</v>
      </c>
      <c r="D6521">
        <v>49</v>
      </c>
    </row>
    <row r="6522" spans="1:4" x14ac:dyDescent="0.25">
      <c r="A6522" t="str">
        <f>T("   321519")</f>
        <v xml:space="preserve">   321519</v>
      </c>
      <c r="B6522" t="str">
        <f>T("   Encres d'imprimerie, même concentrées ou sous formes solides (à l'excl. des encres noires)")</f>
        <v xml:space="preserve">   Encres d'imprimerie, même concentrées ou sous formes solides (à l'excl. des encres noires)</v>
      </c>
      <c r="C6522">
        <v>802895</v>
      </c>
      <c r="D6522">
        <v>156</v>
      </c>
    </row>
    <row r="6523" spans="1:4" x14ac:dyDescent="0.25">
      <c r="A6523" t="str">
        <f>T("   330499")</f>
        <v xml:space="preserve">   330499</v>
      </c>
      <c r="B6523" t="s">
        <v>97</v>
      </c>
      <c r="C6523">
        <v>1514041</v>
      </c>
      <c r="D6523">
        <v>216</v>
      </c>
    </row>
    <row r="6524" spans="1:4" x14ac:dyDescent="0.25">
      <c r="A6524" t="str">
        <f>T("   330749")</f>
        <v xml:space="preserve">   330749</v>
      </c>
      <c r="B6524"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6524">
        <v>337164</v>
      </c>
      <c r="D6524">
        <v>250</v>
      </c>
    </row>
    <row r="6525" spans="1:4" x14ac:dyDescent="0.25">
      <c r="A6525" t="str">
        <f>T("   340120")</f>
        <v xml:space="preserve">   340120</v>
      </c>
      <c r="B6525" t="str">
        <f>T("   Savons en flocons, en paillettes, en granulés ou en poudres et savons liquides ou pâteux")</f>
        <v xml:space="preserve">   Savons en flocons, en paillettes, en granulés ou en poudres et savons liquides ou pâteux</v>
      </c>
      <c r="C6525">
        <v>1155676</v>
      </c>
      <c r="D6525">
        <v>1108</v>
      </c>
    </row>
    <row r="6526" spans="1:4" x14ac:dyDescent="0.25">
      <c r="A6526" t="str">
        <f>T("   340219")</f>
        <v xml:space="preserve">   340219</v>
      </c>
      <c r="B6526"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6526">
        <v>7670941</v>
      </c>
      <c r="D6526">
        <v>6510</v>
      </c>
    </row>
    <row r="6527" spans="1:4" x14ac:dyDescent="0.25">
      <c r="A6527" t="str">
        <f>T("   340290")</f>
        <v xml:space="preserve">   340290</v>
      </c>
      <c r="B6527" t="s">
        <v>101</v>
      </c>
      <c r="C6527">
        <v>628409</v>
      </c>
      <c r="D6527">
        <v>122</v>
      </c>
    </row>
    <row r="6528" spans="1:4" x14ac:dyDescent="0.25">
      <c r="A6528" t="str">
        <f>T("   340399")</f>
        <v xml:space="preserve">   340399</v>
      </c>
      <c r="B6528" t="s">
        <v>103</v>
      </c>
      <c r="C6528">
        <v>36219462</v>
      </c>
      <c r="D6528">
        <v>43675</v>
      </c>
    </row>
    <row r="6529" spans="1:4" x14ac:dyDescent="0.25">
      <c r="A6529" t="str">
        <f>T("   340600")</f>
        <v xml:space="preserve">   340600</v>
      </c>
      <c r="B6529" t="str">
        <f>T("   Bougies, chandelles, cierges et articles simil.")</f>
        <v xml:space="preserve">   Bougies, chandelles, cierges et articles simil.</v>
      </c>
      <c r="C6529">
        <v>10546725</v>
      </c>
      <c r="D6529">
        <v>32920</v>
      </c>
    </row>
    <row r="6530" spans="1:4" x14ac:dyDescent="0.25">
      <c r="A6530" t="str">
        <f>T("   350520")</f>
        <v xml:space="preserve">   350520</v>
      </c>
      <c r="B6530"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6530">
        <v>28270209</v>
      </c>
      <c r="D6530">
        <v>53431</v>
      </c>
    </row>
    <row r="6531" spans="1:4" x14ac:dyDescent="0.25">
      <c r="A6531" t="str">
        <f>T("   350610")</f>
        <v xml:space="preserve">   350610</v>
      </c>
      <c r="B6531"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6531">
        <v>12159845</v>
      </c>
      <c r="D6531">
        <v>20445</v>
      </c>
    </row>
    <row r="6532" spans="1:4" x14ac:dyDescent="0.25">
      <c r="A6532" t="str">
        <f>T("   350699")</f>
        <v xml:space="preserve">   350699</v>
      </c>
      <c r="B6532" t="str">
        <f>T("   Colles et autres adhésifs préparés, n.d.a.")</f>
        <v xml:space="preserve">   Colles et autres adhésifs préparés, n.d.a.</v>
      </c>
      <c r="C6532">
        <v>22333402</v>
      </c>
      <c r="D6532">
        <v>38597</v>
      </c>
    </row>
    <row r="6533" spans="1:4" x14ac:dyDescent="0.25">
      <c r="A6533" t="str">
        <f>T("   380820")</f>
        <v xml:space="preserve">   380820</v>
      </c>
      <c r="B6533" t="str">
        <f>T("   Fongicides présentés dans des formes ou emballages de vente au détail ou à l'état de préparations ou sous forme d'articles")</f>
        <v xml:space="preserve">   Fongicides présentés dans des formes ou emballages de vente au détail ou à l'état de préparations ou sous forme d'articles</v>
      </c>
      <c r="C6533">
        <v>2258825</v>
      </c>
      <c r="D6533">
        <v>2065</v>
      </c>
    </row>
    <row r="6534" spans="1:4" x14ac:dyDescent="0.25">
      <c r="A6534" t="str">
        <f>T("   380830")</f>
        <v xml:space="preserve">   380830</v>
      </c>
      <c r="B6534" t="str">
        <f>T("   Herbicides, inhibiteurs de germination et régulateurs de croissance pour plantes, présentés dans des formes ou emballages de vente au détail ou à l'état de préparations ou sous forme d'articles")</f>
        <v xml:space="preserve">   Herbicides, inhibiteurs de germination et régulateurs de croissance pour plantes, présentés dans des formes ou emballages de vente au détail ou à l'état de préparations ou sous forme d'articles</v>
      </c>
      <c r="C6534">
        <v>1255855</v>
      </c>
      <c r="D6534">
        <v>1507</v>
      </c>
    </row>
    <row r="6535" spans="1:4" x14ac:dyDescent="0.25">
      <c r="A6535" t="str">
        <f>T("   380890")</f>
        <v xml:space="preserve">   380890</v>
      </c>
      <c r="B6535"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6535">
        <v>1280362</v>
      </c>
      <c r="D6535">
        <v>820</v>
      </c>
    </row>
    <row r="6536" spans="1:4" x14ac:dyDescent="0.25">
      <c r="A6536" t="str">
        <f>T("   382200")</f>
        <v xml:space="preserve">   382200</v>
      </c>
      <c r="B6536" t="s">
        <v>122</v>
      </c>
      <c r="C6536">
        <v>692694</v>
      </c>
      <c r="D6536">
        <v>12</v>
      </c>
    </row>
    <row r="6537" spans="1:4" x14ac:dyDescent="0.25">
      <c r="A6537" t="str">
        <f>T("   382440")</f>
        <v xml:space="preserve">   382440</v>
      </c>
      <c r="B6537" t="str">
        <f>T("   Additifs préparés pour ciments, mortiers ou bétons")</f>
        <v xml:space="preserve">   Additifs préparés pour ciments, mortiers ou bétons</v>
      </c>
      <c r="C6537">
        <v>66948591</v>
      </c>
      <c r="D6537">
        <v>99000</v>
      </c>
    </row>
    <row r="6538" spans="1:4" x14ac:dyDescent="0.25">
      <c r="A6538" t="str">
        <f>T("   382490")</f>
        <v xml:space="preserve">   382490</v>
      </c>
      <c r="B6538"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6538">
        <v>20298703</v>
      </c>
      <c r="D6538">
        <v>11191</v>
      </c>
    </row>
    <row r="6539" spans="1:4" x14ac:dyDescent="0.25">
      <c r="A6539" t="str">
        <f>T("   390120")</f>
        <v xml:space="preserve">   390120</v>
      </c>
      <c r="B6539" t="str">
        <f>T("   Polyéthylène d'une densité &gt;= 0,94, sous formes primaires")</f>
        <v xml:space="preserve">   Polyéthylène d'une densité &gt;= 0,94, sous formes primaires</v>
      </c>
      <c r="C6539">
        <v>57938979</v>
      </c>
      <c r="D6539">
        <v>81680</v>
      </c>
    </row>
    <row r="6540" spans="1:4" x14ac:dyDescent="0.25">
      <c r="A6540" t="str">
        <f>T("   390210")</f>
        <v xml:space="preserve">   390210</v>
      </c>
      <c r="B6540" t="str">
        <f>T("   Polypropylène, sous formes primaires")</f>
        <v xml:space="preserve">   Polypropylène, sous formes primaires</v>
      </c>
      <c r="C6540">
        <v>463475</v>
      </c>
      <c r="D6540">
        <v>750</v>
      </c>
    </row>
    <row r="6541" spans="1:4" x14ac:dyDescent="0.25">
      <c r="A6541" t="str">
        <f>T("   390320")</f>
        <v xml:space="preserve">   390320</v>
      </c>
      <c r="B6541" t="str">
        <f>T("   Copolymères de styrène-acrylonitrile [SAN], sous formes primaires")</f>
        <v xml:space="preserve">   Copolymères de styrène-acrylonitrile [SAN], sous formes primaires</v>
      </c>
      <c r="C6541">
        <v>4141686</v>
      </c>
      <c r="D6541">
        <v>5000</v>
      </c>
    </row>
    <row r="6542" spans="1:4" x14ac:dyDescent="0.25">
      <c r="A6542" t="str">
        <f>T("   390512")</f>
        <v xml:space="preserve">   390512</v>
      </c>
      <c r="B6542" t="str">
        <f>T("   Poly[acétate de vinyle], en dispersion aqueuse")</f>
        <v xml:space="preserve">   Poly[acétate de vinyle], en dispersion aqueuse</v>
      </c>
      <c r="C6542">
        <v>36835329</v>
      </c>
      <c r="D6542">
        <v>51652</v>
      </c>
    </row>
    <row r="6543" spans="1:4" x14ac:dyDescent="0.25">
      <c r="A6543" t="str">
        <f>T("   390521")</f>
        <v xml:space="preserve">   390521</v>
      </c>
      <c r="B6543" t="str">
        <f>T("   Copolymères d'acétate de vinyle, en dispersion aqueuse")</f>
        <v xml:space="preserve">   Copolymères d'acétate de vinyle, en dispersion aqueuse</v>
      </c>
      <c r="C6543">
        <v>30001084</v>
      </c>
      <c r="D6543">
        <v>40411</v>
      </c>
    </row>
    <row r="6544" spans="1:4" x14ac:dyDescent="0.25">
      <c r="A6544" t="str">
        <f>T("   390529")</f>
        <v xml:space="preserve">   390529</v>
      </c>
      <c r="B6544" t="str">
        <f>T("   Copolymères d'acétate de vinyle, sous formes primaires (à l'excl. des produits en dispersion aqueuse)")</f>
        <v xml:space="preserve">   Copolymères d'acétate de vinyle, sous formes primaires (à l'excl. des produits en dispersion aqueuse)</v>
      </c>
      <c r="C6544">
        <v>6635390</v>
      </c>
      <c r="D6544">
        <v>9770</v>
      </c>
    </row>
    <row r="6545" spans="1:4" x14ac:dyDescent="0.25">
      <c r="A6545" t="str">
        <f>T("   390690")</f>
        <v xml:space="preserve">   390690</v>
      </c>
      <c r="B6545" t="str">
        <f>T("   Polymères acryliques, sous formes primaires (à l'excl. du poly[méthacrylate de méthyle])")</f>
        <v xml:space="preserve">   Polymères acryliques, sous formes primaires (à l'excl. du poly[méthacrylate de méthyle])</v>
      </c>
      <c r="C6545">
        <v>44380877</v>
      </c>
      <c r="D6545">
        <v>44252</v>
      </c>
    </row>
    <row r="6546" spans="1:4" x14ac:dyDescent="0.25">
      <c r="A6546" t="str">
        <f>T("   391110")</f>
        <v xml:space="preserve">   391110</v>
      </c>
      <c r="B6546" t="str">
        <f>T("   Résines de pétrole, résines de coumarone, résines d'indène, résines de coumarone-indène et polyterpènes, sous formes primaires")</f>
        <v xml:space="preserve">   Résines de pétrole, résines de coumarone, résines d'indène, résines de coumarone-indène et polyterpènes, sous formes primaires</v>
      </c>
      <c r="C6546">
        <v>737955</v>
      </c>
      <c r="D6546">
        <v>95</v>
      </c>
    </row>
    <row r="6547" spans="1:4" x14ac:dyDescent="0.25">
      <c r="A6547" t="str">
        <f>T("   391220")</f>
        <v xml:space="preserve">   391220</v>
      </c>
      <c r="B6547" t="str">
        <f>T("   Nitrates de cellulose, y.c. les collodions, sous formes primaires")</f>
        <v xml:space="preserve">   Nitrates de cellulose, y.c. les collodions, sous formes primaires</v>
      </c>
      <c r="C6547">
        <v>7361734</v>
      </c>
      <c r="D6547">
        <v>2025</v>
      </c>
    </row>
    <row r="6548" spans="1:4" x14ac:dyDescent="0.25">
      <c r="A6548" t="str">
        <f>T("   391239")</f>
        <v xml:space="preserve">   391239</v>
      </c>
      <c r="B6548" t="str">
        <f>T("   ÉTHERS DE CELLULOSE, SOUS FORMES PRIMAIRES (À L'EXCL. DE LA CARBOXYMÉTHYLCELLULOSE ET DE SES SELS)")</f>
        <v xml:space="preserve">   ÉTHERS DE CELLULOSE, SOUS FORMES PRIMAIRES (À L'EXCL. DE LA CARBOXYMÉTHYLCELLULOSE ET DE SES SELS)</v>
      </c>
      <c r="C6548">
        <v>5403215</v>
      </c>
      <c r="D6548">
        <v>1386</v>
      </c>
    </row>
    <row r="6549" spans="1:4" x14ac:dyDescent="0.25">
      <c r="A6549" t="str">
        <f>T("   391290")</f>
        <v xml:space="preserve">   391290</v>
      </c>
      <c r="B6549" t="str">
        <f>T("   Cellulose et ses dérivés chimiques, n.d.a., sous formes primaires (à l'excl. des acétates, nitrates et éthers de cellulose)")</f>
        <v xml:space="preserve">   Cellulose et ses dérivés chimiques, n.d.a., sous formes primaires (à l'excl. des acétates, nitrates et éthers de cellulose)</v>
      </c>
      <c r="C6549">
        <v>4726126</v>
      </c>
      <c r="D6549">
        <v>1300</v>
      </c>
    </row>
    <row r="6550" spans="1:4" x14ac:dyDescent="0.25">
      <c r="A6550" t="str">
        <f>T("   391721")</f>
        <v xml:space="preserve">   391721</v>
      </c>
      <c r="B6550" t="str">
        <f>T("   TUBES ET TUYAUX RIGIDES, EN POLYMÈRES DE L'ÉTHYLÈNE")</f>
        <v xml:space="preserve">   TUBES ET TUYAUX RIGIDES, EN POLYMÈRES DE L'ÉTHYLÈNE</v>
      </c>
      <c r="C6550">
        <v>527116</v>
      </c>
      <c r="D6550">
        <v>508</v>
      </c>
    </row>
    <row r="6551" spans="1:4" x14ac:dyDescent="0.25">
      <c r="A6551" t="str">
        <f>T("   391739")</f>
        <v xml:space="preserve">   391739</v>
      </c>
      <c r="B6551"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6551">
        <v>1080753</v>
      </c>
      <c r="D6551">
        <v>400</v>
      </c>
    </row>
    <row r="6552" spans="1:4" x14ac:dyDescent="0.25">
      <c r="A6552" t="str">
        <f>T("   392290")</f>
        <v xml:space="preserve">   392290</v>
      </c>
      <c r="B6552"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6552">
        <v>16399</v>
      </c>
      <c r="D6552">
        <v>28</v>
      </c>
    </row>
    <row r="6553" spans="1:4" x14ac:dyDescent="0.25">
      <c r="A6553" t="str">
        <f>T("   392310")</f>
        <v xml:space="preserve">   392310</v>
      </c>
      <c r="B6553" t="str">
        <f>T("   Boîtes, caisses, casiers et articles simil. pour le transport ou l'emballage, en matières plastiques")</f>
        <v xml:space="preserve">   Boîtes, caisses, casiers et articles simil. pour le transport ou l'emballage, en matières plastiques</v>
      </c>
      <c r="C6553">
        <v>42552892</v>
      </c>
      <c r="D6553">
        <v>34796</v>
      </c>
    </row>
    <row r="6554" spans="1:4" x14ac:dyDescent="0.25">
      <c r="A6554" t="str">
        <f>T("   392329")</f>
        <v xml:space="preserve">   392329</v>
      </c>
      <c r="B6554" t="str">
        <f>T("   Sacs, sachets, pochettes et cornets, en matières plastiques (autres que les polymères de l'éthylène)")</f>
        <v xml:space="preserve">   Sacs, sachets, pochettes et cornets, en matières plastiques (autres que les polymères de l'éthylène)</v>
      </c>
      <c r="C6554">
        <v>1296276</v>
      </c>
      <c r="D6554">
        <v>236</v>
      </c>
    </row>
    <row r="6555" spans="1:4" x14ac:dyDescent="0.25">
      <c r="A6555" t="str">
        <f>T("   392350")</f>
        <v xml:space="preserve">   392350</v>
      </c>
      <c r="B6555" t="str">
        <f>T("   Bouchons, couvercles, capsules et autres dispositifs de fermeture, en matières plastiques")</f>
        <v xml:space="preserve">   Bouchons, couvercles, capsules et autres dispositifs de fermeture, en matières plastiques</v>
      </c>
      <c r="C6555">
        <v>6700606</v>
      </c>
      <c r="D6555">
        <v>15613</v>
      </c>
    </row>
    <row r="6556" spans="1:4" x14ac:dyDescent="0.25">
      <c r="A6556" t="str">
        <f>T("   392390")</f>
        <v xml:space="preserve">   392390</v>
      </c>
      <c r="B6556" t="s">
        <v>142</v>
      </c>
      <c r="C6556">
        <v>6323888</v>
      </c>
      <c r="D6556">
        <v>2818</v>
      </c>
    </row>
    <row r="6557" spans="1:4" x14ac:dyDescent="0.25">
      <c r="A6557" t="str">
        <f>T("   392410")</f>
        <v xml:space="preserve">   392410</v>
      </c>
      <c r="B6557" t="str">
        <f>T("   Vaisselle et autres articles pour le service de la table ou de la cuisine, en matières plastiques")</f>
        <v xml:space="preserve">   Vaisselle et autres articles pour le service de la table ou de la cuisine, en matières plastiques</v>
      </c>
      <c r="C6557">
        <v>1988710</v>
      </c>
      <c r="D6557">
        <v>5018</v>
      </c>
    </row>
    <row r="6558" spans="1:4" x14ac:dyDescent="0.25">
      <c r="A6558" t="str">
        <f>T("   392490")</f>
        <v xml:space="preserve">   392490</v>
      </c>
      <c r="B6558" t="s">
        <v>143</v>
      </c>
      <c r="C6558">
        <v>117575795</v>
      </c>
      <c r="D6558">
        <v>68582</v>
      </c>
    </row>
    <row r="6559" spans="1:4" x14ac:dyDescent="0.25">
      <c r="A6559" t="str">
        <f>T("   392640")</f>
        <v xml:space="preserve">   392640</v>
      </c>
      <c r="B6559" t="str">
        <f>T("   Statuettes et autres objets d'ornementation, en matières plastiques")</f>
        <v xml:space="preserve">   Statuettes et autres objets d'ornementation, en matières plastiques</v>
      </c>
      <c r="C6559">
        <v>1659031</v>
      </c>
      <c r="D6559">
        <v>2194</v>
      </c>
    </row>
    <row r="6560" spans="1:4" x14ac:dyDescent="0.25">
      <c r="A6560" t="str">
        <f>T("   392690")</f>
        <v xml:space="preserve">   392690</v>
      </c>
      <c r="B6560" t="str">
        <f>T("   Ouvrages en matières plastiques et ouvrages en autres matières du n° 3901 à 3914, n.d.a.")</f>
        <v xml:space="preserve">   Ouvrages en matières plastiques et ouvrages en autres matières du n° 3901 à 3914, n.d.a.</v>
      </c>
      <c r="C6560">
        <v>3809525</v>
      </c>
      <c r="D6560">
        <v>3153</v>
      </c>
    </row>
    <row r="6561" spans="1:4" x14ac:dyDescent="0.25">
      <c r="A6561" t="str">
        <f>T("   400941")</f>
        <v xml:space="preserve">   400941</v>
      </c>
      <c r="B6561"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6561">
        <v>118729</v>
      </c>
      <c r="D6561">
        <v>29</v>
      </c>
    </row>
    <row r="6562" spans="1:4" x14ac:dyDescent="0.25">
      <c r="A6562" t="str">
        <f>T("   401039")</f>
        <v xml:space="preserve">   401039</v>
      </c>
      <c r="B6562" t="s">
        <v>151</v>
      </c>
      <c r="C6562">
        <v>2787830</v>
      </c>
      <c r="D6562">
        <v>7</v>
      </c>
    </row>
    <row r="6563" spans="1:4" x14ac:dyDescent="0.25">
      <c r="A6563" t="str">
        <f>T("   401199")</f>
        <v xml:space="preserve">   401199</v>
      </c>
      <c r="B6563" t="s">
        <v>152</v>
      </c>
      <c r="C6563">
        <v>296291</v>
      </c>
      <c r="D6563">
        <v>206</v>
      </c>
    </row>
    <row r="6564" spans="1:4" x14ac:dyDescent="0.25">
      <c r="A6564" t="str">
        <f>T("   401211")</f>
        <v xml:space="preserve">   401211</v>
      </c>
      <c r="B6564"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6564">
        <v>830000</v>
      </c>
      <c r="D6564">
        <v>1000</v>
      </c>
    </row>
    <row r="6565" spans="1:4" x14ac:dyDescent="0.25">
      <c r="A6565" t="str">
        <f>T("   401212")</f>
        <v xml:space="preserve">   401212</v>
      </c>
      <c r="B6565" t="str">
        <f>T("   Pneumatiques rechapés, en caoutchouc, des types utilisés pour les autobus ou camions")</f>
        <v xml:space="preserve">   Pneumatiques rechapés, en caoutchouc, des types utilisés pour les autobus ou camions</v>
      </c>
      <c r="C6565">
        <v>295182</v>
      </c>
      <c r="D6565">
        <v>150</v>
      </c>
    </row>
    <row r="6566" spans="1:4" x14ac:dyDescent="0.25">
      <c r="A6566" t="str">
        <f>T("   401220")</f>
        <v xml:space="preserve">   401220</v>
      </c>
      <c r="B6566" t="str">
        <f>T("   Pneumatiques usagés, en caoutchouc")</f>
        <v xml:space="preserve">   Pneumatiques usagés, en caoutchouc</v>
      </c>
      <c r="C6566">
        <v>56617967</v>
      </c>
      <c r="D6566">
        <v>123541</v>
      </c>
    </row>
    <row r="6567" spans="1:4" x14ac:dyDescent="0.25">
      <c r="A6567" t="str">
        <f>T("   401290")</f>
        <v xml:space="preserve">   401290</v>
      </c>
      <c r="B6567" t="str">
        <f>T("   Bandages pleins ou creux [mi-pleins], bandes de roulement amovibles pour pneumatiques et flaps, en caoutchouc")</f>
        <v xml:space="preserve">   Bandages pleins ou creux [mi-pleins], bandes de roulement amovibles pour pneumatiques et flaps, en caoutchouc</v>
      </c>
      <c r="C6567">
        <v>100362</v>
      </c>
      <c r="D6567">
        <v>600</v>
      </c>
    </row>
    <row r="6568" spans="1:4" x14ac:dyDescent="0.25">
      <c r="A6568" t="str">
        <f>T("   401310")</f>
        <v xml:space="preserve">   401310</v>
      </c>
      <c r="B6568"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6568">
        <v>2669757</v>
      </c>
      <c r="D6568">
        <v>8400</v>
      </c>
    </row>
    <row r="6569" spans="1:4" x14ac:dyDescent="0.25">
      <c r="A6569" t="str">
        <f>T("   401490")</f>
        <v xml:space="preserve">   401490</v>
      </c>
      <c r="B6569" t="str">
        <f>T("   ARTICLES D'HYGIÈNE OU DE PHARMACIE, Y.C. LES TÉTINES, EN CAOUTCHOUC VULCANISÉ NON-DURCI, MÊME AVEC PARTIES EN CAOUTCHOUC DURCI, N.D.A. (À L'EXCL. DES PRÉSERVATIFS AINSI QUE DES VÊTEMENTS ET ACCESSOIRES DU VÊTEMENT, Y.C. LES GANTS, POUR TOUS USAGES)")</f>
        <v xml:space="preserve">   ARTICLES D'HYGIÈNE OU DE PHARMACIE, Y.C. LES TÉTINES, EN CAOUTCHOUC VULCANISÉ NON-DURCI, MÊME AVEC PARTIES EN CAOUTCHOUC DURCI, N.D.A. (À L'EXCL. DES PRÉSERVATIFS AINSI QUE DES VÊTEMENTS ET ACCESSOIRES DU VÊTEMENT, Y.C. LES GANTS, POUR TOUS USAGES)</v>
      </c>
      <c r="C6569">
        <v>2145869</v>
      </c>
      <c r="D6569">
        <v>532</v>
      </c>
    </row>
    <row r="6570" spans="1:4" x14ac:dyDescent="0.25">
      <c r="A6570" t="str">
        <f>T("   401610")</f>
        <v xml:space="preserve">   401610</v>
      </c>
      <c r="B6570" t="str">
        <f>T("   Ouvrages en caoutchouc alvéolaire non durci, n.d.a.")</f>
        <v xml:space="preserve">   Ouvrages en caoutchouc alvéolaire non durci, n.d.a.</v>
      </c>
      <c r="C6570">
        <v>16864732</v>
      </c>
      <c r="D6570">
        <v>5911</v>
      </c>
    </row>
    <row r="6571" spans="1:4" x14ac:dyDescent="0.25">
      <c r="A6571" t="str">
        <f>T("   401692")</f>
        <v xml:space="preserve">   401692</v>
      </c>
      <c r="B6571" t="str">
        <f>T("   Gommes à effacer, en caoutchouc vulcanisé non durci, prêtes à l'emploi (à l'excl. des articles simplement découpés de forme carrée ou rectangulaire)")</f>
        <v xml:space="preserve">   Gommes à effacer, en caoutchouc vulcanisé non durci, prêtes à l'emploi (à l'excl. des articles simplement découpés de forme carrée ou rectangulaire)</v>
      </c>
      <c r="C6571">
        <v>137752</v>
      </c>
      <c r="D6571">
        <v>7</v>
      </c>
    </row>
    <row r="6572" spans="1:4" x14ac:dyDescent="0.25">
      <c r="A6572" t="str">
        <f>T("   401693")</f>
        <v xml:space="preserve">   401693</v>
      </c>
      <c r="B6572" t="str">
        <f>T("   Joints en caoutchouc vulcanisé non durci (à l'excl. des articles en caoutchouc alvéolaire)")</f>
        <v xml:space="preserve">   Joints en caoutchouc vulcanisé non durci (à l'excl. des articles en caoutchouc alvéolaire)</v>
      </c>
      <c r="C6572">
        <v>44500</v>
      </c>
      <c r="D6572">
        <v>33</v>
      </c>
    </row>
    <row r="6573" spans="1:4" x14ac:dyDescent="0.25">
      <c r="A6573" t="str">
        <f>T("   410719")</f>
        <v xml:space="preserve">   410719</v>
      </c>
      <c r="B6573" t="s">
        <v>154</v>
      </c>
      <c r="C6573">
        <v>7638274</v>
      </c>
      <c r="D6573">
        <v>17008</v>
      </c>
    </row>
    <row r="6574" spans="1:4" x14ac:dyDescent="0.25">
      <c r="A6574" t="str">
        <f>T("   410799")</f>
        <v xml:space="preserve">   410799</v>
      </c>
      <c r="B6574" t="s">
        <v>155</v>
      </c>
      <c r="C6574">
        <v>3043084</v>
      </c>
      <c r="D6574">
        <v>237</v>
      </c>
    </row>
    <row r="6575" spans="1:4" x14ac:dyDescent="0.25">
      <c r="A6575" t="str">
        <f>T("   420239")</f>
        <v xml:space="preserve">   420239</v>
      </c>
      <c r="B6575" t="s">
        <v>158</v>
      </c>
      <c r="C6575">
        <v>8875</v>
      </c>
      <c r="D6575">
        <v>50</v>
      </c>
    </row>
    <row r="6576" spans="1:4" x14ac:dyDescent="0.25">
      <c r="A6576" t="str">
        <f>T("   420292")</f>
        <v xml:space="preserve">   420292</v>
      </c>
      <c r="B6576" t="s">
        <v>159</v>
      </c>
      <c r="C6576">
        <v>1635544</v>
      </c>
      <c r="D6576">
        <v>1713</v>
      </c>
    </row>
    <row r="6577" spans="1:4" x14ac:dyDescent="0.25">
      <c r="A6577" t="str">
        <f>T("   441033")</f>
        <v xml:space="preserve">   441033</v>
      </c>
      <c r="B6577" t="s">
        <v>169</v>
      </c>
      <c r="C6577">
        <v>2725514</v>
      </c>
      <c r="D6577">
        <v>2500</v>
      </c>
    </row>
    <row r="6578" spans="1:4" x14ac:dyDescent="0.25">
      <c r="A6578" t="str">
        <f>T("   441199")</f>
        <v xml:space="preserve">   441199</v>
      </c>
      <c r="B6578" t="s">
        <v>175</v>
      </c>
      <c r="C6578">
        <v>41517004</v>
      </c>
      <c r="D6578">
        <v>38760</v>
      </c>
    </row>
    <row r="6579" spans="1:4" x14ac:dyDescent="0.25">
      <c r="A6579" t="str">
        <f>T("   441400")</f>
        <v xml:space="preserve">   441400</v>
      </c>
      <c r="B6579" t="str">
        <f>T("   Cadres en bois pour tableaux, photographies, miroirs ou objets simil.")</f>
        <v xml:space="preserve">   Cadres en bois pour tableaux, photographies, miroirs ou objets simil.</v>
      </c>
      <c r="C6579">
        <v>694695</v>
      </c>
      <c r="D6579">
        <v>696</v>
      </c>
    </row>
    <row r="6580" spans="1:4" x14ac:dyDescent="0.25">
      <c r="A6580" t="str">
        <f>T("   441520")</f>
        <v xml:space="preserve">   441520</v>
      </c>
      <c r="B6580" t="str">
        <f>T("   Palettes simples, palettes-caisses et autres plateaux de chargement, en bois; rehausses de palettes en bois (à l'excl. des cadres et conteneurs spécialement conçus et équipés pour un ou plusieurs modes de transport)")</f>
        <v xml:space="preserve">   Palettes simples, palettes-caisses et autres plateaux de chargement, en bois; rehausses de palettes en bois (à l'excl. des cadres et conteneurs spécialement conçus et équipés pour un ou plusieurs modes de transport)</v>
      </c>
      <c r="C6580">
        <v>30174</v>
      </c>
      <c r="D6580">
        <v>8</v>
      </c>
    </row>
    <row r="6581" spans="1:4" x14ac:dyDescent="0.25">
      <c r="A6581" t="str">
        <f>T("   441700")</f>
        <v xml:space="preserve">   441700</v>
      </c>
      <c r="B6581" t="s">
        <v>181</v>
      </c>
      <c r="C6581">
        <v>1578240</v>
      </c>
      <c r="D6581">
        <v>3600</v>
      </c>
    </row>
    <row r="6582" spans="1:4" x14ac:dyDescent="0.25">
      <c r="A6582" t="str">
        <f>T("   441820")</f>
        <v xml:space="preserve">   441820</v>
      </c>
      <c r="B6582" t="str">
        <f>T("   Portes et leurs cadres, chambranles et seuils, en bois")</f>
        <v xml:space="preserve">   Portes et leurs cadres, chambranles et seuils, en bois</v>
      </c>
      <c r="C6582">
        <v>5135904</v>
      </c>
      <c r="D6582">
        <v>4200</v>
      </c>
    </row>
    <row r="6583" spans="1:4" x14ac:dyDescent="0.25">
      <c r="A6583" t="str">
        <f>T("   441830")</f>
        <v xml:space="preserve">   441830</v>
      </c>
      <c r="B6583" t="str">
        <f>T("   PANNEAUX POUR PARQUETS, EN BOIS (À L'EXCL. DES LAMES ET FRISES POUR PARQUETS, NON-ASSEMBLÉES)")</f>
        <v xml:space="preserve">   PANNEAUX POUR PARQUETS, EN BOIS (À L'EXCL. DES LAMES ET FRISES POUR PARQUETS, NON-ASSEMBLÉES)</v>
      </c>
      <c r="C6583">
        <v>11151320</v>
      </c>
      <c r="D6583">
        <v>39520</v>
      </c>
    </row>
    <row r="6584" spans="1:4" x14ac:dyDescent="0.25">
      <c r="A6584" t="str">
        <f>T("   442190")</f>
        <v xml:space="preserve">   442190</v>
      </c>
      <c r="B6584" t="str">
        <f>T("   Ouvrages, en bois, n.d.a.")</f>
        <v xml:space="preserve">   Ouvrages, en bois, n.d.a.</v>
      </c>
      <c r="C6584">
        <v>6045647</v>
      </c>
      <c r="D6584">
        <v>3951</v>
      </c>
    </row>
    <row r="6585" spans="1:4" x14ac:dyDescent="0.25">
      <c r="A6585" t="str">
        <f>T("   481019")</f>
        <v xml:space="preserve">   481019</v>
      </c>
      <c r="B6585" t="s">
        <v>203</v>
      </c>
      <c r="C6585">
        <v>52052393</v>
      </c>
      <c r="D6585">
        <v>58678</v>
      </c>
    </row>
    <row r="6586" spans="1:4" x14ac:dyDescent="0.25">
      <c r="A6586" t="str">
        <f>T("   481110")</f>
        <v xml:space="preserve">   481110</v>
      </c>
      <c r="B6586" t="str">
        <f>T("   Papiers et cartons goudronnés, bitumés ou asphaltés, en rouleaux ou en feuilles de forme carrée ou rectangulaire, de tout format")</f>
        <v xml:space="preserve">   Papiers et cartons goudronnés, bitumés ou asphaltés, en rouleaux ou en feuilles de forme carrée ou rectangulaire, de tout format</v>
      </c>
      <c r="C6586">
        <v>7842586</v>
      </c>
      <c r="D6586">
        <v>15187.5</v>
      </c>
    </row>
    <row r="6587" spans="1:4" x14ac:dyDescent="0.25">
      <c r="A6587" t="str">
        <f>T("   481200")</f>
        <v xml:space="preserve">   481200</v>
      </c>
      <c r="B6587" t="str">
        <f>T("   Blocs filtrants et plaques filtrantes, en pâte à papier")</f>
        <v xml:space="preserve">   Blocs filtrants et plaques filtrantes, en pâte à papier</v>
      </c>
      <c r="C6587">
        <v>3255529</v>
      </c>
      <c r="D6587">
        <v>302</v>
      </c>
    </row>
    <row r="6588" spans="1:4" x14ac:dyDescent="0.25">
      <c r="A6588" t="str">
        <f>T("   481920")</f>
        <v xml:space="preserve">   481920</v>
      </c>
      <c r="B6588" t="str">
        <f>T("   Boîtes et cartonnages, pliants, en papier ou en carton non ondulé")</f>
        <v xml:space="preserve">   Boîtes et cartonnages, pliants, en papier ou en carton non ondulé</v>
      </c>
      <c r="C6588">
        <v>877130</v>
      </c>
      <c r="D6588">
        <v>250</v>
      </c>
    </row>
    <row r="6589" spans="1:4" x14ac:dyDescent="0.25">
      <c r="A6589" t="str">
        <f>T("   490199")</f>
        <v xml:space="preserve">   490199</v>
      </c>
      <c r="B658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589">
        <v>590365</v>
      </c>
      <c r="D6589">
        <v>1370</v>
      </c>
    </row>
    <row r="6590" spans="1:4" x14ac:dyDescent="0.25">
      <c r="A6590" t="str">
        <f>T("   490510")</f>
        <v xml:space="preserve">   490510</v>
      </c>
      <c r="B6590" t="str">
        <f>T("   Globes, imprimés (à l'excl. des globes en relief)")</f>
        <v xml:space="preserve">   Globes, imprimés (à l'excl. des globes en relief)</v>
      </c>
      <c r="C6590">
        <v>2775694</v>
      </c>
      <c r="D6590">
        <v>672</v>
      </c>
    </row>
    <row r="6591" spans="1:4" x14ac:dyDescent="0.25">
      <c r="A6591" t="str">
        <f>T("   491110")</f>
        <v xml:space="preserve">   491110</v>
      </c>
      <c r="B6591" t="str">
        <f>T("   Imprimés publicitaires, catalogues commerciaux et simil.")</f>
        <v xml:space="preserve">   Imprimés publicitaires, catalogues commerciaux et simil.</v>
      </c>
      <c r="C6591">
        <v>600000</v>
      </c>
      <c r="D6591">
        <v>900</v>
      </c>
    </row>
    <row r="6592" spans="1:4" x14ac:dyDescent="0.25">
      <c r="A6592" t="str">
        <f>T("   560290")</f>
        <v xml:space="preserve">   560290</v>
      </c>
      <c r="B6592" t="str">
        <f>T("   Feutres, imprégnés, enduits, recouverts ou stratifiés (à l'excl. des feutres aiguilletés et des produits cousus-tricotés)")</f>
        <v xml:space="preserve">   Feutres, imprégnés, enduits, recouverts ou stratifiés (à l'excl. des feutres aiguilletés et des produits cousus-tricotés)</v>
      </c>
      <c r="C6592">
        <v>1909329</v>
      </c>
      <c r="D6592">
        <v>55.6</v>
      </c>
    </row>
    <row r="6593" spans="1:4" x14ac:dyDescent="0.25">
      <c r="A6593" t="str">
        <f>T("   560490")</f>
        <v xml:space="preserve">   560490</v>
      </c>
      <c r="B6593"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6593">
        <v>183668</v>
      </c>
      <c r="D6593">
        <v>70</v>
      </c>
    </row>
    <row r="6594" spans="1:4" x14ac:dyDescent="0.25">
      <c r="A6594" t="str">
        <f>T("   570299")</f>
        <v xml:space="preserve">   570299</v>
      </c>
      <c r="B6594" t="s">
        <v>245</v>
      </c>
      <c r="C6594">
        <v>41325</v>
      </c>
      <c r="D6594">
        <v>70</v>
      </c>
    </row>
    <row r="6595" spans="1:4" x14ac:dyDescent="0.25">
      <c r="A6595" t="str">
        <f>T("   570500")</f>
        <v xml:space="preserve">   570500</v>
      </c>
      <c r="B6595"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6595">
        <v>80027</v>
      </c>
      <c r="D6595">
        <v>120</v>
      </c>
    </row>
    <row r="6596" spans="1:4" x14ac:dyDescent="0.25">
      <c r="A6596" t="str">
        <f>T("   591132")</f>
        <v xml:space="preserve">   591132</v>
      </c>
      <c r="B6596" t="str">
        <f>T("   TISSUS ET FEUTRES SANS FIN OU MUNIS DE MOYENS DE JONCTION, DES TYPES UTILISÉS SUR LES MACHINES À PAPIER OU SUR DES MACHINES SIMIL. [À PÂTE, À AMIANTE-CIMENT, P.EX.], D'UN POIDS &gt;= 650 G/M²")</f>
        <v xml:space="preserve">   TISSUS ET FEUTRES SANS FIN OU MUNIS DE MOYENS DE JONCTION, DES TYPES UTILISÉS SUR LES MACHINES À PAPIER OU SUR DES MACHINES SIMIL. [À PÂTE, À AMIANTE-CIMENT, P.EX.], D'UN POIDS &gt;= 650 G/M²</v>
      </c>
      <c r="C6596">
        <v>714996</v>
      </c>
      <c r="D6596">
        <v>55</v>
      </c>
    </row>
    <row r="6597" spans="1:4" x14ac:dyDescent="0.25">
      <c r="A6597" t="str">
        <f>T("   591190")</f>
        <v xml:space="preserve">   591190</v>
      </c>
      <c r="B6597" t="str">
        <f>T("   Produits et articles textiles pour usages techniques, en matières textiles, visés à la note 7 du présent chapitre, n.d.a.")</f>
        <v xml:space="preserve">   Produits et articles textiles pour usages techniques, en matières textiles, visés à la note 7 du présent chapitre, n.d.a.</v>
      </c>
      <c r="C6597">
        <v>45576534</v>
      </c>
      <c r="D6597">
        <v>31581</v>
      </c>
    </row>
    <row r="6598" spans="1:4" x14ac:dyDescent="0.25">
      <c r="A6598" t="str">
        <f>T("   610412")</f>
        <v xml:space="preserve">   610412</v>
      </c>
      <c r="B6598" t="str">
        <f>T("   Costumes tailleurs en bonneterie, de coton, pour femmes ou fillettes (sauf combinaisons de ski et maillots, culottes et slips de bain)")</f>
        <v xml:space="preserve">   Costumes tailleurs en bonneterie, de coton, pour femmes ou fillettes (sauf combinaisons de ski et maillots, culottes et slips de bain)</v>
      </c>
      <c r="C6598">
        <v>65000</v>
      </c>
      <c r="D6598">
        <v>1500</v>
      </c>
    </row>
    <row r="6599" spans="1:4" x14ac:dyDescent="0.25">
      <c r="A6599" t="str">
        <f>T("   610590")</f>
        <v xml:space="preserve">   610590</v>
      </c>
      <c r="B6599"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6599">
        <v>170015</v>
      </c>
      <c r="D6599">
        <v>1584</v>
      </c>
    </row>
    <row r="6600" spans="1:4" x14ac:dyDescent="0.25">
      <c r="A6600" t="str">
        <f>T("   620342")</f>
        <v xml:space="preserve">   620342</v>
      </c>
      <c r="B6600"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6600">
        <v>10000200</v>
      </c>
      <c r="D6600">
        <v>15000</v>
      </c>
    </row>
    <row r="6601" spans="1:4" x14ac:dyDescent="0.25">
      <c r="A6601" t="str">
        <f>T("   620590")</f>
        <v xml:space="preserve">   620590</v>
      </c>
      <c r="B660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601">
        <v>580779</v>
      </c>
      <c r="D6601">
        <v>5591</v>
      </c>
    </row>
    <row r="6602" spans="1:4" x14ac:dyDescent="0.25">
      <c r="A6602" t="str">
        <f>T("   620990")</f>
        <v xml:space="preserve">   620990</v>
      </c>
      <c r="B6602"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6602">
        <v>20000</v>
      </c>
      <c r="D6602">
        <v>240</v>
      </c>
    </row>
    <row r="6603" spans="1:4" x14ac:dyDescent="0.25">
      <c r="A6603" t="str">
        <f>T("   621040")</f>
        <v xml:space="preserve">   621040</v>
      </c>
      <c r="B6603" t="s">
        <v>265</v>
      </c>
      <c r="C6603">
        <v>1110535</v>
      </c>
      <c r="D6603">
        <v>1866</v>
      </c>
    </row>
    <row r="6604" spans="1:4" x14ac:dyDescent="0.25">
      <c r="A6604" t="str">
        <f>T("   630260")</f>
        <v xml:space="preserve">   630260</v>
      </c>
      <c r="B6604"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6604">
        <v>2082017</v>
      </c>
      <c r="D6604">
        <v>1050</v>
      </c>
    </row>
    <row r="6605" spans="1:4" x14ac:dyDescent="0.25">
      <c r="A6605" t="str">
        <f>T("   630311")</f>
        <v xml:space="preserve">   630311</v>
      </c>
      <c r="B6605" t="str">
        <f>T("   Vitrages, rideaux et stores d'intérieur ainsi que cantonnières et tours de lit, en bonneterie, de coton (autres que stores d'extérieur)")</f>
        <v xml:space="preserve">   Vitrages, rideaux et stores d'intérieur ainsi que cantonnières et tours de lit, en bonneterie, de coton (autres que stores d'extérieur)</v>
      </c>
      <c r="C6605">
        <v>476535</v>
      </c>
      <c r="D6605">
        <v>105</v>
      </c>
    </row>
    <row r="6606" spans="1:4" x14ac:dyDescent="0.25">
      <c r="A6606" t="str">
        <f>T("   630491")</f>
        <v xml:space="preserve">   630491</v>
      </c>
      <c r="B6606" t="s">
        <v>269</v>
      </c>
      <c r="C6606">
        <v>311502</v>
      </c>
      <c r="D6606">
        <v>52</v>
      </c>
    </row>
    <row r="6607" spans="1:4" x14ac:dyDescent="0.25">
      <c r="A6607" t="str">
        <f>T("   630900")</f>
        <v xml:space="preserve">   630900</v>
      </c>
      <c r="B6607" t="s">
        <v>273</v>
      </c>
      <c r="C6607">
        <v>114048636</v>
      </c>
      <c r="D6607">
        <v>246498</v>
      </c>
    </row>
    <row r="6608" spans="1:4" x14ac:dyDescent="0.25">
      <c r="A6608" t="str">
        <f>T("   640291")</f>
        <v xml:space="preserve">   640291</v>
      </c>
      <c r="B6608" t="str">
        <f>T("   CHAUSSURES À SEMELLES EXTÉRIEURES ET DESSUS EN CAOUTCHOUC OU EN MATIÈRES PLASTIQUES, COUVRANT LA CHEVILLE (SAUF CHAUSSURES ÉTANCHES DU N° 6401, CHAUSSURES D'ORTHOPÉDIE ET DE SPORT ET CHAUSSURES AYANT LE CARACTÈRE DE JOUETS)")</f>
        <v xml:space="preserve">   CHAUSSURES À SEMELLES EXTÉRIEURES ET DESSUS EN CAOUTCHOUC OU EN MATIÈRES PLASTIQUES, COUVRANT LA CHEVILLE (SAUF CHAUSSURES ÉTANCHES DU N° 6401, CHAUSSURES D'ORTHOPÉDIE ET DE SPORT ET CHAUSSURES AYANT LE CARACTÈRE DE JOUETS)</v>
      </c>
      <c r="C6608">
        <v>120000</v>
      </c>
      <c r="D6608">
        <v>28</v>
      </c>
    </row>
    <row r="6609" spans="1:4" x14ac:dyDescent="0.25">
      <c r="A6609" t="str">
        <f>T("   640590")</f>
        <v xml:space="preserve">   640590</v>
      </c>
      <c r="B6609" t="s">
        <v>283</v>
      </c>
      <c r="C6609">
        <v>16587405</v>
      </c>
      <c r="D6609">
        <v>30160</v>
      </c>
    </row>
    <row r="6610" spans="1:4" x14ac:dyDescent="0.25">
      <c r="A6610" t="str">
        <f>T("   660199")</f>
        <v xml:space="preserve">   660199</v>
      </c>
      <c r="B6610"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6610">
        <v>22014</v>
      </c>
      <c r="D6610">
        <v>35</v>
      </c>
    </row>
    <row r="6611" spans="1:4" x14ac:dyDescent="0.25">
      <c r="A6611" t="str">
        <f>T("   680790")</f>
        <v xml:space="preserve">   680790</v>
      </c>
      <c r="B6611" t="str">
        <f>T("   Ouvrages en asphalte ou en produits simil., p.ex. poix de pétrole, brais (autres qu'en rouleaux)")</f>
        <v xml:space="preserve">   Ouvrages en asphalte ou en produits simil., p.ex. poix de pétrole, brais (autres qu'en rouleaux)</v>
      </c>
      <c r="C6611">
        <v>8937469</v>
      </c>
      <c r="D6611">
        <v>19818</v>
      </c>
    </row>
    <row r="6612" spans="1:4" x14ac:dyDescent="0.25">
      <c r="A6612" t="str">
        <f>T("   680800")</f>
        <v xml:space="preserve">   680800</v>
      </c>
      <c r="B6612" t="s">
        <v>295</v>
      </c>
      <c r="C6612">
        <v>62939</v>
      </c>
      <c r="D6612">
        <v>705</v>
      </c>
    </row>
    <row r="6613" spans="1:4" x14ac:dyDescent="0.25">
      <c r="A6613" t="str">
        <f>T("   681019")</f>
        <v xml:space="preserve">   681019</v>
      </c>
      <c r="B6613"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6613">
        <v>3279177</v>
      </c>
      <c r="D6613">
        <v>20000</v>
      </c>
    </row>
    <row r="6614" spans="1:4" x14ac:dyDescent="0.25">
      <c r="A6614" t="str">
        <f>T("   681110")</f>
        <v xml:space="preserve">   681110</v>
      </c>
      <c r="B6614" t="str">
        <f>T("   Plaques ondulées en amiante-ciment, cellulose-ciment ou simil.")</f>
        <v xml:space="preserve">   Plaques ondulées en amiante-ciment, cellulose-ciment ou simil.</v>
      </c>
      <c r="C6614">
        <v>3702009</v>
      </c>
      <c r="D6614">
        <v>51870</v>
      </c>
    </row>
    <row r="6615" spans="1:4" x14ac:dyDescent="0.25">
      <c r="A6615" t="str">
        <f>T("   681120")</f>
        <v xml:space="preserve">   681120</v>
      </c>
      <c r="B6615" t="str">
        <f>T("   Plaques, panneaux, carreaux, tuiles et articles simil., en amiante-ciment, cellulose-ciment ou simil. (sauf plaques ondulées)")</f>
        <v xml:space="preserve">   Plaques, panneaux, carreaux, tuiles et articles simil., en amiante-ciment, cellulose-ciment ou simil. (sauf plaques ondulées)</v>
      </c>
      <c r="C6615">
        <v>53469923</v>
      </c>
      <c r="D6615">
        <v>841400</v>
      </c>
    </row>
    <row r="6616" spans="1:4" x14ac:dyDescent="0.25">
      <c r="A6616" t="str">
        <f>T("   690790")</f>
        <v xml:space="preserve">   690790</v>
      </c>
      <c r="B6616" t="s">
        <v>306</v>
      </c>
      <c r="C6616">
        <v>15493185</v>
      </c>
      <c r="D6616">
        <v>163925</v>
      </c>
    </row>
    <row r="6617" spans="1:4" x14ac:dyDescent="0.25">
      <c r="A6617" t="str">
        <f>T("   690890")</f>
        <v xml:space="preserve">   690890</v>
      </c>
      <c r="B6617" t="s">
        <v>307</v>
      </c>
      <c r="C6617">
        <v>261325147</v>
      </c>
      <c r="D6617">
        <v>2425104</v>
      </c>
    </row>
    <row r="6618" spans="1:4" x14ac:dyDescent="0.25">
      <c r="A6618" t="str">
        <f>T("   691090")</f>
        <v xml:space="preserve">   691090</v>
      </c>
      <c r="B6618" t="s">
        <v>310</v>
      </c>
      <c r="C6618">
        <v>71375014</v>
      </c>
      <c r="D6618">
        <v>24668</v>
      </c>
    </row>
    <row r="6619" spans="1:4" x14ac:dyDescent="0.25">
      <c r="A6619" t="str">
        <f>T("   691200")</f>
        <v xml:space="preserve">   691200</v>
      </c>
      <c r="B6619" t="s">
        <v>313</v>
      </c>
      <c r="C6619">
        <v>7474671</v>
      </c>
      <c r="D6619">
        <v>9786</v>
      </c>
    </row>
    <row r="6620" spans="1:4" x14ac:dyDescent="0.25">
      <c r="A6620" t="str">
        <f>T("   691390")</f>
        <v xml:space="preserve">   691390</v>
      </c>
      <c r="B6620" t="str">
        <f>T("   Statuettes et autres objets d'ornementation en céramique autres que la porcelaine n.d.a.")</f>
        <v xml:space="preserve">   Statuettes et autres objets d'ornementation en céramique autres que la porcelaine n.d.a.</v>
      </c>
      <c r="C6620">
        <v>1381371</v>
      </c>
      <c r="D6620">
        <v>3079</v>
      </c>
    </row>
    <row r="6621" spans="1:4" x14ac:dyDescent="0.25">
      <c r="A6621" t="str">
        <f>T("   700529")</f>
        <v xml:space="preserve">   700529</v>
      </c>
      <c r="B6621" t="s">
        <v>315</v>
      </c>
      <c r="C6621">
        <v>3557736</v>
      </c>
      <c r="D6621">
        <v>23770</v>
      </c>
    </row>
    <row r="6622" spans="1:4" x14ac:dyDescent="0.25">
      <c r="A6622" t="str">
        <f>T("   700719")</f>
        <v xml:space="preserve">   700719</v>
      </c>
      <c r="B6622" t="s">
        <v>317</v>
      </c>
      <c r="C6622">
        <v>585818</v>
      </c>
      <c r="D6622">
        <v>516</v>
      </c>
    </row>
    <row r="6623" spans="1:4" x14ac:dyDescent="0.25">
      <c r="A6623" t="str">
        <f>T("   700992")</f>
        <v xml:space="preserve">   700992</v>
      </c>
      <c r="B6623" t="str">
        <f>T("   Miroirs, en verre encadrés (sauf miroirs rétroviseurs pour véhicules)")</f>
        <v xml:space="preserve">   Miroirs, en verre encadrés (sauf miroirs rétroviseurs pour véhicules)</v>
      </c>
      <c r="C6623">
        <v>1808515</v>
      </c>
      <c r="D6623">
        <v>1836</v>
      </c>
    </row>
    <row r="6624" spans="1:4" x14ac:dyDescent="0.25">
      <c r="A6624" t="str">
        <f>T("   701090")</f>
        <v xml:space="preserve">   701090</v>
      </c>
      <c r="B6624" t="s">
        <v>320</v>
      </c>
      <c r="C6624">
        <v>522695</v>
      </c>
      <c r="D6624">
        <v>460</v>
      </c>
    </row>
    <row r="6625" spans="1:4" x14ac:dyDescent="0.25">
      <c r="A6625" t="str">
        <f>T("   701329")</f>
        <v xml:space="preserve">   701329</v>
      </c>
      <c r="B6625" t="str">
        <f>T("   Verres à boire (autres qu'en vitrocérame, autres qu'en cristal au plomb)")</f>
        <v xml:space="preserve">   Verres à boire (autres qu'en vitrocérame, autres qu'en cristal au plomb)</v>
      </c>
      <c r="C6625">
        <v>2022940</v>
      </c>
      <c r="D6625">
        <v>5007</v>
      </c>
    </row>
    <row r="6626" spans="1:4" x14ac:dyDescent="0.25">
      <c r="A6626" t="str">
        <f>T("   701339")</f>
        <v xml:space="preserve">   701339</v>
      </c>
      <c r="B6626" t="s">
        <v>324</v>
      </c>
      <c r="C6626">
        <v>1036996</v>
      </c>
      <c r="D6626">
        <v>1693</v>
      </c>
    </row>
    <row r="6627" spans="1:4" x14ac:dyDescent="0.25">
      <c r="A6627" t="str">
        <f>T("   701391")</f>
        <v xml:space="preserve">   701391</v>
      </c>
      <c r="B6627" t="s">
        <v>325</v>
      </c>
      <c r="C6627">
        <v>34992</v>
      </c>
      <c r="D6627">
        <v>94</v>
      </c>
    </row>
    <row r="6628" spans="1:4" x14ac:dyDescent="0.25">
      <c r="A6628" t="str">
        <f>T("   702000")</f>
        <v xml:space="preserve">   702000</v>
      </c>
      <c r="B6628" t="str">
        <f>T("   Ouvrages en verre n.d.a.")</f>
        <v xml:space="preserve">   Ouvrages en verre n.d.a.</v>
      </c>
      <c r="C6628">
        <v>16399</v>
      </c>
      <c r="D6628">
        <v>28</v>
      </c>
    </row>
    <row r="6629" spans="1:4" x14ac:dyDescent="0.25">
      <c r="A6629" t="str">
        <f>T("   711419")</f>
        <v xml:space="preserve">   711419</v>
      </c>
      <c r="B6629" t="s">
        <v>334</v>
      </c>
      <c r="C6629">
        <v>570686</v>
      </c>
      <c r="D6629">
        <v>560</v>
      </c>
    </row>
    <row r="6630" spans="1:4" x14ac:dyDescent="0.25">
      <c r="A6630" t="str">
        <f>T("   711420")</f>
        <v xml:space="preserve">   711420</v>
      </c>
      <c r="B6630" t="s">
        <v>335</v>
      </c>
      <c r="C6630">
        <v>104954</v>
      </c>
      <c r="D6630">
        <v>120</v>
      </c>
    </row>
    <row r="6631" spans="1:4" x14ac:dyDescent="0.25">
      <c r="A6631" t="str">
        <f>T("   721049")</f>
        <v xml:space="preserve">   721049</v>
      </c>
      <c r="B6631"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6631">
        <v>26646137</v>
      </c>
      <c r="D6631">
        <v>22386</v>
      </c>
    </row>
    <row r="6632" spans="1:4" x14ac:dyDescent="0.25">
      <c r="A6632" t="str">
        <f>T("   730590")</f>
        <v xml:space="preserve">   730590</v>
      </c>
      <c r="B6632" t="str">
        <f>T("   Tubes et tuyaux de section circulaire, d'un diamètre extérieur &gt; 406,4 mm, en produits laminés plats en fer ou en acier (sauf soudés et sauf tubes des types utilisés pour les oléoducs et gazoducs ou pour l'extraction de pétrole ou de gaz)")</f>
        <v xml:space="preserve">   Tubes et tuyaux de section circulaire, d'un diamètre extérieur &gt; 406,4 mm, en produits laminés plats en fer ou en acier (sauf soudés et sauf tubes des types utilisés pour les oléoducs et gazoducs ou pour l'extraction de pétrole ou de gaz)</v>
      </c>
      <c r="C6632">
        <v>2640239</v>
      </c>
      <c r="D6632">
        <v>23500</v>
      </c>
    </row>
    <row r="6633" spans="1:4" x14ac:dyDescent="0.25">
      <c r="A6633" t="str">
        <f>T("   730690")</f>
        <v xml:space="preserve">   730690</v>
      </c>
      <c r="B6633"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6633">
        <v>3462156</v>
      </c>
      <c r="D6633">
        <v>2952</v>
      </c>
    </row>
    <row r="6634" spans="1:4" x14ac:dyDescent="0.25">
      <c r="A6634" t="str">
        <f>T("   730830")</f>
        <v xml:space="preserve">   730830</v>
      </c>
      <c r="B6634" t="str">
        <f>T("   Portes, fenêtres et leurs cadres et chambranles ainsi que leurs seuils, en fer ou en acier")</f>
        <v xml:space="preserve">   Portes, fenêtres et leurs cadres et chambranles ainsi que leurs seuils, en fer ou en acier</v>
      </c>
      <c r="C6634">
        <v>2956323</v>
      </c>
      <c r="D6634">
        <v>1503</v>
      </c>
    </row>
    <row r="6635" spans="1:4" x14ac:dyDescent="0.25">
      <c r="A6635" t="str">
        <f>T("   730890")</f>
        <v xml:space="preserve">   730890</v>
      </c>
      <c r="B6635" t="s">
        <v>349</v>
      </c>
      <c r="C6635">
        <v>625130</v>
      </c>
      <c r="D6635">
        <v>3850</v>
      </c>
    </row>
    <row r="6636" spans="1:4" x14ac:dyDescent="0.25">
      <c r="A6636" t="str">
        <f>T("   731010")</f>
        <v xml:space="preserve">   731010</v>
      </c>
      <c r="B6636"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6636">
        <v>296709072</v>
      </c>
      <c r="D6636">
        <v>59200</v>
      </c>
    </row>
    <row r="6637" spans="1:4" x14ac:dyDescent="0.25">
      <c r="A6637" t="str">
        <f>T("   731029")</f>
        <v xml:space="preserve">   731029</v>
      </c>
      <c r="B6637"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6637">
        <v>427201</v>
      </c>
      <c r="D6637">
        <v>346</v>
      </c>
    </row>
    <row r="6638" spans="1:4" x14ac:dyDescent="0.25">
      <c r="A6638" t="str">
        <f>T("   731419")</f>
        <v xml:space="preserve">   731419</v>
      </c>
      <c r="B6638" t="s">
        <v>352</v>
      </c>
      <c r="C6638">
        <v>254821</v>
      </c>
      <c r="D6638">
        <v>273</v>
      </c>
    </row>
    <row r="6639" spans="1:4" x14ac:dyDescent="0.25">
      <c r="A6639" t="str">
        <f>T("   731700")</f>
        <v xml:space="preserve">   731700</v>
      </c>
      <c r="B6639"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6639">
        <v>1219207</v>
      </c>
      <c r="D6639">
        <v>1012.5</v>
      </c>
    </row>
    <row r="6640" spans="1:4" x14ac:dyDescent="0.25">
      <c r="A6640" t="str">
        <f>T("   731815")</f>
        <v xml:space="preserve">   731815</v>
      </c>
      <c r="B6640" t="s">
        <v>354</v>
      </c>
      <c r="C6640">
        <v>918344</v>
      </c>
      <c r="D6640">
        <v>302</v>
      </c>
    </row>
    <row r="6641" spans="1:4" x14ac:dyDescent="0.25">
      <c r="A6641" t="str">
        <f>T("   731819")</f>
        <v xml:space="preserve">   731819</v>
      </c>
      <c r="B6641" t="str">
        <f>T("   Articles de boulonnerie et de visserie, filetés, en fonte, fer ou acier, n.d.a.")</f>
        <v xml:space="preserve">   Articles de boulonnerie et de visserie, filetés, en fonte, fer ou acier, n.d.a.</v>
      </c>
      <c r="C6641">
        <v>1100701</v>
      </c>
      <c r="D6641">
        <v>171</v>
      </c>
    </row>
    <row r="6642" spans="1:4" x14ac:dyDescent="0.25">
      <c r="A6642" t="str">
        <f>T("   732111")</f>
        <v xml:space="preserve">   732111</v>
      </c>
      <c r="B6642" t="s">
        <v>356</v>
      </c>
      <c r="C6642">
        <v>26060156</v>
      </c>
      <c r="D6642">
        <v>18348</v>
      </c>
    </row>
    <row r="6643" spans="1:4" x14ac:dyDescent="0.25">
      <c r="A6643" t="str">
        <f>T("   732190")</f>
        <v xml:space="preserve">   732190</v>
      </c>
      <c r="B6643" t="str">
        <f>T("   Parties des appareils ménagers chauffants non-électriques du n° 7321, n.d.a.")</f>
        <v xml:space="preserve">   Parties des appareils ménagers chauffants non-électriques du n° 7321, n.d.a.</v>
      </c>
      <c r="C6643">
        <v>59919</v>
      </c>
      <c r="D6643">
        <v>41</v>
      </c>
    </row>
    <row r="6644" spans="1:4" x14ac:dyDescent="0.25">
      <c r="A6644" t="str">
        <f>T("   732393")</f>
        <v xml:space="preserve">   732393</v>
      </c>
      <c r="B6644" t="s">
        <v>361</v>
      </c>
      <c r="C6644">
        <v>360739</v>
      </c>
      <c r="D6644">
        <v>361</v>
      </c>
    </row>
    <row r="6645" spans="1:4" x14ac:dyDescent="0.25">
      <c r="A6645" t="str">
        <f>T("   732394")</f>
        <v xml:space="preserve">   732394</v>
      </c>
      <c r="B6645" t="s">
        <v>362</v>
      </c>
      <c r="C6645">
        <v>2000678</v>
      </c>
      <c r="D6645">
        <v>1893</v>
      </c>
    </row>
    <row r="6646" spans="1:4" x14ac:dyDescent="0.25">
      <c r="A6646" t="str">
        <f>T("   732399")</f>
        <v xml:space="preserve">   732399</v>
      </c>
      <c r="B6646" t="s">
        <v>363</v>
      </c>
      <c r="C6646">
        <v>11337867</v>
      </c>
      <c r="D6646">
        <v>21815</v>
      </c>
    </row>
    <row r="6647" spans="1:4" x14ac:dyDescent="0.25">
      <c r="A6647" t="str">
        <f>T("   732591")</f>
        <v xml:space="preserve">   732591</v>
      </c>
      <c r="B6647" t="str">
        <f>T("   Boulets et simil., pour broyeurs, moulés (sauf en fonte non malléable)")</f>
        <v xml:space="preserve">   Boulets et simil., pour broyeurs, moulés (sauf en fonte non malléable)</v>
      </c>
      <c r="C6647">
        <v>68517645</v>
      </c>
      <c r="D6647">
        <v>85000</v>
      </c>
    </row>
    <row r="6648" spans="1:4" x14ac:dyDescent="0.25">
      <c r="A6648" t="str">
        <f>T("   732690")</f>
        <v xml:space="preserve">   732690</v>
      </c>
      <c r="B6648"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648">
        <v>31939721</v>
      </c>
      <c r="D6648">
        <v>44360</v>
      </c>
    </row>
    <row r="6649" spans="1:4" x14ac:dyDescent="0.25">
      <c r="A6649" t="str">
        <f>T("   760429")</f>
        <v xml:space="preserve">   760429</v>
      </c>
      <c r="B6649" t="str">
        <f>T("   Barres et profilés pleins en alliages d'aluminium, n.d.a.")</f>
        <v xml:space="preserve">   Barres et profilés pleins en alliages d'aluminium, n.d.a.</v>
      </c>
      <c r="C6649">
        <v>4438940</v>
      </c>
      <c r="D6649">
        <v>2470</v>
      </c>
    </row>
    <row r="6650" spans="1:4" x14ac:dyDescent="0.25">
      <c r="A6650" t="str">
        <f>T("   760810")</f>
        <v xml:space="preserve">   760810</v>
      </c>
      <c r="B6650" t="str">
        <f>T("   Tubes et tuyaux en aluminium non allié (sauf profilés creux)")</f>
        <v xml:space="preserve">   Tubes et tuyaux en aluminium non allié (sauf profilés creux)</v>
      </c>
      <c r="C6650">
        <v>484649</v>
      </c>
      <c r="D6650">
        <v>101</v>
      </c>
    </row>
    <row r="6651" spans="1:4" x14ac:dyDescent="0.25">
      <c r="A6651" t="str">
        <f>T("   761010")</f>
        <v xml:space="preserve">   761010</v>
      </c>
      <c r="B6651" t="str">
        <f>T("   Portes, fenêtres et leurs cadres, chambranles et seuils, en aluminium (sauf pièces de garnissage)")</f>
        <v xml:space="preserve">   Portes, fenêtres et leurs cadres, chambranles et seuils, en aluminium (sauf pièces de garnissage)</v>
      </c>
      <c r="C6651">
        <v>14703647</v>
      </c>
      <c r="D6651">
        <v>12392</v>
      </c>
    </row>
    <row r="6652" spans="1:4" x14ac:dyDescent="0.25">
      <c r="A6652" t="str">
        <f>T("   761290")</f>
        <v xml:space="preserve">   761290</v>
      </c>
      <c r="B6652" t="str">
        <f>T("   Réservoirs, fûts, tambours, bidons, boîtes et récipients simil., en aluminium, y.c. les étuis tubulaires rigides, pour toutes matières, sauf gaz comprimés ou liquéfiés, d'une contenance &lt;= 300 l, n.d.a.")</f>
        <v xml:space="preserve">   Réservoirs, fûts, tambours, bidons, boîtes et récipients simil., en aluminium, y.c. les étuis tubulaires rigides, pour toutes matières, sauf gaz comprimés ou liquéfiés, d'une contenance &lt;= 300 l, n.d.a.</v>
      </c>
      <c r="C6652">
        <v>106390</v>
      </c>
      <c r="D6652">
        <v>113</v>
      </c>
    </row>
    <row r="6653" spans="1:4" x14ac:dyDescent="0.25">
      <c r="A6653" t="str">
        <f>T("   761691")</f>
        <v xml:space="preserve">   761691</v>
      </c>
      <c r="B6653" t="str">
        <f>T("   Toiles métalliques, grillages et treillis, en fils d'aluminium (sauf toiles en fils métalliques pour revêtements, aménagements intérieurs et usages simil., toiles, grillages et treillis transformés en cribles ou tamis à main ou en pièces de machines)")</f>
        <v xml:space="preserve">   Toiles métalliques, grillages et treillis, en fils d'aluminium (sauf toiles en fils métalliques pour revêtements, aménagements intérieurs et usages simil., toiles, grillages et treillis transformés en cribles ou tamis à main ou en pièces de machines)</v>
      </c>
      <c r="C6653">
        <v>23853317</v>
      </c>
      <c r="D6653">
        <v>1485</v>
      </c>
    </row>
    <row r="6654" spans="1:4" x14ac:dyDescent="0.25">
      <c r="A6654" t="str">
        <f>T("   761699")</f>
        <v xml:space="preserve">   761699</v>
      </c>
      <c r="B6654" t="str">
        <f>T("   Ouvrages en aluminium, n.d.a.")</f>
        <v xml:space="preserve">   Ouvrages en aluminium, n.d.a.</v>
      </c>
      <c r="C6654">
        <v>10477837</v>
      </c>
      <c r="D6654">
        <v>6072</v>
      </c>
    </row>
    <row r="6655" spans="1:4" x14ac:dyDescent="0.25">
      <c r="A6655" t="str">
        <f>T("   810890")</f>
        <v xml:space="preserve">   810890</v>
      </c>
      <c r="B6655" t="str">
        <f>T("   Ouvrages en titane, n.d.a.")</f>
        <v xml:space="preserve">   Ouvrages en titane, n.d.a.</v>
      </c>
      <c r="C6655">
        <v>2523800</v>
      </c>
      <c r="D6655">
        <v>1000</v>
      </c>
    </row>
    <row r="6656" spans="1:4" x14ac:dyDescent="0.25">
      <c r="A6656" t="str">
        <f>T("   820239")</f>
        <v xml:space="preserve">   820239</v>
      </c>
      <c r="B6656" t="str">
        <f>T("   Lames de scies circulaires, y.c. les lames de fraises-scies, et leurs parties, en métaux communs et avec partie travaillante en matières autres que l'acier")</f>
        <v xml:space="preserve">   Lames de scies circulaires, y.c. les lames de fraises-scies, et leurs parties, en métaux communs et avec partie travaillante en matières autres que l'acier</v>
      </c>
      <c r="C6656">
        <v>937892</v>
      </c>
      <c r="D6656">
        <v>21</v>
      </c>
    </row>
    <row r="6657" spans="1:4" x14ac:dyDescent="0.25">
      <c r="A6657" t="str">
        <f>T("   820310")</f>
        <v xml:space="preserve">   820310</v>
      </c>
      <c r="B6657" t="str">
        <f>T("   Limes, râpes et outils simil. à main, en métaux communs")</f>
        <v xml:space="preserve">   Limes, râpes et outils simil. à main, en métaux communs</v>
      </c>
      <c r="C6657">
        <v>200000</v>
      </c>
      <c r="D6657">
        <v>480</v>
      </c>
    </row>
    <row r="6658" spans="1:4" x14ac:dyDescent="0.25">
      <c r="A6658" t="str">
        <f>T("   820330")</f>
        <v xml:space="preserve">   820330</v>
      </c>
      <c r="B6658" t="str">
        <f>T("   Cisailles à métaux et outils simil., à main, en métaux communs")</f>
        <v xml:space="preserve">   Cisailles à métaux et outils simil., à main, en métaux communs</v>
      </c>
      <c r="C6658">
        <v>2951820</v>
      </c>
      <c r="D6658">
        <v>616</v>
      </c>
    </row>
    <row r="6659" spans="1:4" x14ac:dyDescent="0.25">
      <c r="A6659" t="str">
        <f>T("   820551")</f>
        <v xml:space="preserve">   820551</v>
      </c>
      <c r="B6659" t="str">
        <f>T("   Outils à main d'économie domestique, non mécaniques, avec partie travaillante en métaux communs, n.d.a.")</f>
        <v xml:space="preserve">   Outils à main d'économie domestique, non mécaniques, avec partie travaillante en métaux communs, n.d.a.</v>
      </c>
      <c r="C6659">
        <v>772065</v>
      </c>
      <c r="D6659">
        <v>354</v>
      </c>
    </row>
    <row r="6660" spans="1:4" x14ac:dyDescent="0.25">
      <c r="A6660" t="str">
        <f>T("   820559")</f>
        <v xml:space="preserve">   820559</v>
      </c>
      <c r="B6660" t="str">
        <f>T("   Outils à main, y.c. -les diamants de vitrier-, en métaux communs, n.d.a.")</f>
        <v xml:space="preserve">   Outils à main, y.c. -les diamants de vitrier-, en métaux communs, n.d.a.</v>
      </c>
      <c r="C6660">
        <v>2728092</v>
      </c>
      <c r="D6660">
        <v>374</v>
      </c>
    </row>
    <row r="6661" spans="1:4" x14ac:dyDescent="0.25">
      <c r="A6661" t="str">
        <f>T("   820570")</f>
        <v xml:space="preserve">   820570</v>
      </c>
      <c r="B6661" t="str">
        <f>T("   Etaux, serre-joints et simil. (autres que ceux constituant des accessoires ou des parties de machines-outils)")</f>
        <v xml:space="preserve">   Etaux, serre-joints et simil. (autres que ceux constituant des accessoires ou des parties de machines-outils)</v>
      </c>
      <c r="C6661">
        <v>395846</v>
      </c>
      <c r="D6661">
        <v>37</v>
      </c>
    </row>
    <row r="6662" spans="1:4" x14ac:dyDescent="0.25">
      <c r="A6662" t="str">
        <f>T("   820590")</f>
        <v xml:space="preserve">   820590</v>
      </c>
      <c r="B6662" t="str">
        <f>T("   Assortiments d'outils d'au moins deux des sous-positions du n° 8205")</f>
        <v xml:space="preserve">   Assortiments d'outils d'au moins deux des sous-positions du n° 8205</v>
      </c>
      <c r="C6662">
        <v>710497</v>
      </c>
      <c r="D6662">
        <v>66</v>
      </c>
    </row>
    <row r="6663" spans="1:4" x14ac:dyDescent="0.25">
      <c r="A6663" t="str">
        <f>T("   820790")</f>
        <v xml:space="preserve">   820790</v>
      </c>
      <c r="B6663" t="str">
        <f>T("   Outils interchangeables pour outillage à main, mécanique ou non, ou pour machines-outils, n.d.a.")</f>
        <v xml:space="preserve">   Outils interchangeables pour outillage à main, mécanique ou non, ou pour machines-outils, n.d.a.</v>
      </c>
      <c r="C6663">
        <v>225000</v>
      </c>
      <c r="D6663">
        <v>800</v>
      </c>
    </row>
    <row r="6664" spans="1:4" x14ac:dyDescent="0.25">
      <c r="A6664" t="str">
        <f>T("   830130")</f>
        <v xml:space="preserve">   830130</v>
      </c>
      <c r="B6664" t="str">
        <f>T("   Serrures des types utilisés pour meubles, en métaux communs")</f>
        <v xml:space="preserve">   Serrures des types utilisés pour meubles, en métaux communs</v>
      </c>
      <c r="C6664">
        <v>92035</v>
      </c>
      <c r="D6664">
        <v>21</v>
      </c>
    </row>
    <row r="6665" spans="1:4" x14ac:dyDescent="0.25">
      <c r="A6665" t="str">
        <f>T("   830220")</f>
        <v xml:space="preserve">   830220</v>
      </c>
      <c r="B6665" t="str">
        <f>T("   Roulettes avec monture en métaux communs")</f>
        <v xml:space="preserve">   Roulettes avec monture en métaux communs</v>
      </c>
      <c r="C6665">
        <v>692241</v>
      </c>
      <c r="D6665">
        <v>122</v>
      </c>
    </row>
    <row r="6666" spans="1:4" x14ac:dyDescent="0.25">
      <c r="A6666" t="str">
        <f>T("   830242")</f>
        <v xml:space="preserve">   830242</v>
      </c>
      <c r="B6666" t="str">
        <f>T("   GARNITURES, FERRURES ET SIMIL., POUR MEUBLES, EN MÉTAUX COMMUNS (SAUF SERRURES ET VERROUS DE S¹RETÉ À CLEF ET SAUF CHARNIÈRES ET ROULETTES)")</f>
        <v xml:space="preserve">   GARNITURES, FERRURES ET SIMIL., POUR MEUBLES, EN MÉTAUX COMMUNS (SAUF SERRURES ET VERROUS DE S¹RETÉ À CLEF ET SAUF CHARNIÈRES ET ROULETTES)</v>
      </c>
      <c r="C6666">
        <v>184070</v>
      </c>
      <c r="D6666">
        <v>35</v>
      </c>
    </row>
    <row r="6667" spans="1:4" x14ac:dyDescent="0.25">
      <c r="A6667" t="str">
        <f>T("   830910")</f>
        <v xml:space="preserve">   830910</v>
      </c>
      <c r="B6667" t="str">
        <f>T("   Bouchons-couronnes en métaux communs")</f>
        <v xml:space="preserve">   Bouchons-couronnes en métaux communs</v>
      </c>
      <c r="C6667">
        <v>288216512</v>
      </c>
      <c r="D6667">
        <v>137604</v>
      </c>
    </row>
    <row r="6668" spans="1:4" x14ac:dyDescent="0.25">
      <c r="A6668" t="str">
        <f>T("   840219")</f>
        <v xml:space="preserve">   840219</v>
      </c>
      <c r="B6668" t="str">
        <f>T("   Chaudières à vapeur, y.c. les chaudières mixtes (autres que les chaudières aquatubulaires et les chaudières pour le chauffage central conçues pour produire à la fois de l'eau chaude et de la vapeur à basse pression)")</f>
        <v xml:space="preserve">   Chaudières à vapeur, y.c. les chaudières mixtes (autres que les chaudières aquatubulaires et les chaudières pour le chauffage central conçues pour produire à la fois de l'eau chaude et de la vapeur à basse pression)</v>
      </c>
      <c r="C6668">
        <v>14627908</v>
      </c>
      <c r="D6668">
        <v>2300</v>
      </c>
    </row>
    <row r="6669" spans="1:4" x14ac:dyDescent="0.25">
      <c r="A6669" t="str">
        <f>T("   840820")</f>
        <v xml:space="preserve">   840820</v>
      </c>
      <c r="B6669" t="s">
        <v>393</v>
      </c>
      <c r="C6669">
        <v>700566</v>
      </c>
      <c r="D6669">
        <v>3510</v>
      </c>
    </row>
    <row r="6670" spans="1:4" x14ac:dyDescent="0.25">
      <c r="A6670" t="str">
        <f>T("   840999")</f>
        <v xml:space="preserve">   840999</v>
      </c>
      <c r="B6670"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6670">
        <v>522662</v>
      </c>
      <c r="D6670">
        <v>80</v>
      </c>
    </row>
    <row r="6671" spans="1:4" x14ac:dyDescent="0.25">
      <c r="A6671" t="str">
        <f>T("   841350")</f>
        <v xml:space="preserve">   841350</v>
      </c>
      <c r="B6671" t="s">
        <v>395</v>
      </c>
      <c r="C6671">
        <v>222370</v>
      </c>
      <c r="D6671">
        <v>34</v>
      </c>
    </row>
    <row r="6672" spans="1:4" x14ac:dyDescent="0.25">
      <c r="A6672" t="str">
        <f>T("   841381")</f>
        <v xml:space="preserve">   841381</v>
      </c>
      <c r="B6672" t="s">
        <v>398</v>
      </c>
      <c r="C6672">
        <v>8373447</v>
      </c>
      <c r="D6672">
        <v>1039</v>
      </c>
    </row>
    <row r="6673" spans="1:4" x14ac:dyDescent="0.25">
      <c r="A6673" t="str">
        <f>T("   841391")</f>
        <v xml:space="preserve">   841391</v>
      </c>
      <c r="B6673" t="str">
        <f>T("   Parties de pompes pour liquides, n.d.a.")</f>
        <v xml:space="preserve">   Parties de pompes pour liquides, n.d.a.</v>
      </c>
      <c r="C6673">
        <v>679273</v>
      </c>
      <c r="D6673">
        <v>308</v>
      </c>
    </row>
    <row r="6674" spans="1:4" x14ac:dyDescent="0.25">
      <c r="A6674" t="str">
        <f>T("   841430")</f>
        <v xml:space="preserve">   841430</v>
      </c>
      <c r="B6674" t="str">
        <f>T("   Compresseurs des types utilisés pour équipements frigorifiques")</f>
        <v xml:space="preserve">   Compresseurs des types utilisés pour équipements frigorifiques</v>
      </c>
      <c r="C6674">
        <v>713029</v>
      </c>
      <c r="D6674">
        <v>95</v>
      </c>
    </row>
    <row r="6675" spans="1:4" x14ac:dyDescent="0.25">
      <c r="A6675" t="str">
        <f>T("   841440")</f>
        <v xml:space="preserve">   841440</v>
      </c>
      <c r="B6675" t="str">
        <f>T("   Compresseurs d'air montés sur châssis à roues et remorquables")</f>
        <v xml:space="preserve">   Compresseurs d'air montés sur châssis à roues et remorquables</v>
      </c>
      <c r="C6675">
        <v>1799140</v>
      </c>
      <c r="D6675">
        <v>1910</v>
      </c>
    </row>
    <row r="6676" spans="1:4" x14ac:dyDescent="0.25">
      <c r="A6676" t="str">
        <f>T("   841460")</f>
        <v xml:space="preserve">   841460</v>
      </c>
      <c r="B6676" t="str">
        <f>T("   Hottes aspirantes à extraction ou à recyclage par filtre, à ventilateur incorporé, plus grand côté horizontal &lt;= 120 cm")</f>
        <v xml:space="preserve">   Hottes aspirantes à extraction ou à recyclage par filtre, à ventilateur incorporé, plus grand côté horizontal &lt;= 120 cm</v>
      </c>
      <c r="C6676">
        <v>238271</v>
      </c>
      <c r="D6676">
        <v>63</v>
      </c>
    </row>
    <row r="6677" spans="1:4" x14ac:dyDescent="0.25">
      <c r="A6677" t="str">
        <f>T("   841510")</f>
        <v xml:space="preserve">   841510</v>
      </c>
      <c r="B6677" t="s">
        <v>400</v>
      </c>
      <c r="C6677">
        <v>21274991</v>
      </c>
      <c r="D6677">
        <v>14990</v>
      </c>
    </row>
    <row r="6678" spans="1:4" x14ac:dyDescent="0.25">
      <c r="A6678" t="str">
        <f>T("   841582")</f>
        <v xml:space="preserve">   841582</v>
      </c>
      <c r="B6678" t="s">
        <v>402</v>
      </c>
      <c r="C6678">
        <v>553300</v>
      </c>
      <c r="D6678">
        <v>870</v>
      </c>
    </row>
    <row r="6679" spans="1:4" x14ac:dyDescent="0.25">
      <c r="A6679" t="str">
        <f>T("   841590")</f>
        <v xml:space="preserve">   841590</v>
      </c>
      <c r="B6679"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6679">
        <v>51290</v>
      </c>
      <c r="D6679">
        <v>20</v>
      </c>
    </row>
    <row r="6680" spans="1:4" x14ac:dyDescent="0.25">
      <c r="A6680" t="str">
        <f>T("   841720")</f>
        <v xml:space="preserve">   841720</v>
      </c>
      <c r="B6680" t="str">
        <f>T("   Fours non-électriques, de boulangerie, de pâtisserie ou de biscuiterie")</f>
        <v xml:space="preserve">   Fours non-électriques, de boulangerie, de pâtisserie ou de biscuiterie</v>
      </c>
      <c r="C6680">
        <v>2894909</v>
      </c>
      <c r="D6680">
        <v>9300</v>
      </c>
    </row>
    <row r="6681" spans="1:4" x14ac:dyDescent="0.25">
      <c r="A6681" t="str">
        <f>T("   841810")</f>
        <v xml:space="preserve">   841810</v>
      </c>
      <c r="B6681" t="str">
        <f>T("   Réfrigérateurs et congélateurs-conservateurs combinés, avec portes extérieures séparées")</f>
        <v xml:space="preserve">   Réfrigérateurs et congélateurs-conservateurs combinés, avec portes extérieures séparées</v>
      </c>
      <c r="C6681">
        <v>14695281</v>
      </c>
      <c r="D6681">
        <v>17386</v>
      </c>
    </row>
    <row r="6682" spans="1:4" x14ac:dyDescent="0.25">
      <c r="A6682" t="str">
        <f>T("   841821")</f>
        <v xml:space="preserve">   841821</v>
      </c>
      <c r="B6682" t="str">
        <f>T("   Réfrigérateurs ménagers à compression")</f>
        <v xml:space="preserve">   Réfrigérateurs ménagers à compression</v>
      </c>
      <c r="C6682">
        <v>1597121</v>
      </c>
      <c r="D6682">
        <v>4797</v>
      </c>
    </row>
    <row r="6683" spans="1:4" x14ac:dyDescent="0.25">
      <c r="A6683" t="str">
        <f>T("   841829")</f>
        <v xml:space="preserve">   841829</v>
      </c>
      <c r="B6683" t="str">
        <f>T("   Réfrigérateurs ménagers à absorption, non-électriques")</f>
        <v xml:space="preserve">   Réfrigérateurs ménagers à absorption, non-électriques</v>
      </c>
      <c r="C6683">
        <v>28006818</v>
      </c>
      <c r="D6683">
        <v>55959</v>
      </c>
    </row>
    <row r="6684" spans="1:4" x14ac:dyDescent="0.25">
      <c r="A6684" t="str">
        <f>T("   841830")</f>
        <v xml:space="preserve">   841830</v>
      </c>
      <c r="B6684" t="str">
        <f>T("   Meubles congélateurs-conservateurs du type coffre, capacité &lt;= 800 l")</f>
        <v xml:space="preserve">   Meubles congélateurs-conservateurs du type coffre, capacité &lt;= 800 l</v>
      </c>
      <c r="C6684">
        <v>48210292</v>
      </c>
      <c r="D6684">
        <v>19727</v>
      </c>
    </row>
    <row r="6685" spans="1:4" x14ac:dyDescent="0.25">
      <c r="A6685" t="str">
        <f>T("   841840")</f>
        <v xml:space="preserve">   841840</v>
      </c>
      <c r="B6685" t="str">
        <f>T("   Meubles congélateurs-conservateurs du type armoire, capacité &lt;= 900 l")</f>
        <v xml:space="preserve">   Meubles congélateurs-conservateurs du type armoire, capacité &lt;= 900 l</v>
      </c>
      <c r="C6685">
        <v>18697897</v>
      </c>
      <c r="D6685">
        <v>12231</v>
      </c>
    </row>
    <row r="6686" spans="1:4" x14ac:dyDescent="0.25">
      <c r="A6686" t="str">
        <f>T("   841850")</f>
        <v xml:space="preserve">   841850</v>
      </c>
      <c r="B6686" t="s">
        <v>404</v>
      </c>
      <c r="C6686">
        <v>15634806</v>
      </c>
      <c r="D6686">
        <v>11482</v>
      </c>
    </row>
    <row r="6687" spans="1:4" x14ac:dyDescent="0.25">
      <c r="A6687" t="str">
        <f>T("   841861")</f>
        <v xml:space="preserve">   841861</v>
      </c>
      <c r="B6687" t="str">
        <f>T("   Groupes à compression pour la production du froid, dont le condenseur est constitué par un échangeur de chaleur")</f>
        <v xml:space="preserve">   Groupes à compression pour la production du froid, dont le condenseur est constitué par un échangeur de chaleur</v>
      </c>
      <c r="C6687">
        <v>421126</v>
      </c>
      <c r="D6687">
        <v>318</v>
      </c>
    </row>
    <row r="6688" spans="1:4" x14ac:dyDescent="0.25">
      <c r="A6688" t="str">
        <f>T("   841869")</f>
        <v xml:space="preserve">   841869</v>
      </c>
      <c r="B6688"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6688">
        <v>944583</v>
      </c>
      <c r="D6688">
        <v>80</v>
      </c>
    </row>
    <row r="6689" spans="1:4" x14ac:dyDescent="0.25">
      <c r="A6689" t="str">
        <f>T("   841899")</f>
        <v xml:space="preserve">   841899</v>
      </c>
      <c r="B6689"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6689">
        <v>11709542</v>
      </c>
      <c r="D6689">
        <v>8111</v>
      </c>
    </row>
    <row r="6690" spans="1:4" x14ac:dyDescent="0.25">
      <c r="A6690" t="str">
        <f>T("   841989")</f>
        <v xml:space="preserve">   841989</v>
      </c>
      <c r="B6690" t="s">
        <v>405</v>
      </c>
      <c r="C6690">
        <v>4608119</v>
      </c>
      <c r="D6690">
        <v>1800</v>
      </c>
    </row>
    <row r="6691" spans="1:4" x14ac:dyDescent="0.25">
      <c r="A6691" t="str">
        <f>T("   842129")</f>
        <v xml:space="preserve">   842129</v>
      </c>
      <c r="B6691"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6691">
        <v>7521532</v>
      </c>
      <c r="D6691">
        <v>1389</v>
      </c>
    </row>
    <row r="6692" spans="1:4" x14ac:dyDescent="0.25">
      <c r="A6692" t="str">
        <f>T("   842219")</f>
        <v xml:space="preserve">   842219</v>
      </c>
      <c r="B6692" t="str">
        <f>T("   Machines à laver la vaisselle (autres que de type ménager)")</f>
        <v xml:space="preserve">   Machines à laver la vaisselle (autres que de type ménager)</v>
      </c>
      <c r="C6692">
        <v>177110</v>
      </c>
      <c r="D6692">
        <v>380</v>
      </c>
    </row>
    <row r="6693" spans="1:4" x14ac:dyDescent="0.25">
      <c r="A6693" t="str">
        <f>T("   842240")</f>
        <v xml:space="preserve">   842240</v>
      </c>
      <c r="B6693" t="s">
        <v>406</v>
      </c>
      <c r="C6693">
        <v>456929976</v>
      </c>
      <c r="D6693">
        <v>41808</v>
      </c>
    </row>
    <row r="6694" spans="1:4" x14ac:dyDescent="0.25">
      <c r="A6694" t="str">
        <f>T("   842290")</f>
        <v xml:space="preserve">   842290</v>
      </c>
      <c r="B6694"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6694">
        <v>107115646</v>
      </c>
      <c r="D6694">
        <v>3271</v>
      </c>
    </row>
    <row r="6695" spans="1:4" x14ac:dyDescent="0.25">
      <c r="A6695" t="str">
        <f>T("   842381")</f>
        <v xml:space="preserve">   842381</v>
      </c>
      <c r="B6695" t="s">
        <v>407</v>
      </c>
      <c r="C6695">
        <v>728299</v>
      </c>
      <c r="D6695">
        <v>194</v>
      </c>
    </row>
    <row r="6696" spans="1:4" x14ac:dyDescent="0.25">
      <c r="A6696" t="str">
        <f>T("   842382")</f>
        <v xml:space="preserve">   842382</v>
      </c>
      <c r="B6696" t="str">
        <f>T("   Appareils et instruments de pesage, portée &gt; 30 kg mais &lt;= 5000 kg (à l'excl. des pèse-personnes, bascules à pesage continu sur transporteurs, bascules à pesées constantes et balances et bascules ensacheuses ou doseuses)")</f>
        <v xml:space="preserve">   Appareils et instruments de pesage, portée &gt; 30 kg mais &lt;= 5000 kg (à l'excl. des pèse-personnes, bascules à pesage continu sur transporteurs, bascules à pesées constantes et balances et bascules ensacheuses ou doseuses)</v>
      </c>
      <c r="C6696">
        <v>1340782</v>
      </c>
      <c r="D6696">
        <v>194</v>
      </c>
    </row>
    <row r="6697" spans="1:4" x14ac:dyDescent="0.25">
      <c r="A6697" t="str">
        <f>T("   842390")</f>
        <v xml:space="preserve">   842390</v>
      </c>
      <c r="B6697" t="str">
        <f>T("   Poids pour balances de tous genres; parties d'appareils et instruments de pesage, n.d.a.")</f>
        <v xml:space="preserve">   Poids pour balances de tous genres; parties d'appareils et instruments de pesage, n.d.a.</v>
      </c>
      <c r="C6697">
        <v>310925</v>
      </c>
      <c r="D6697">
        <v>5</v>
      </c>
    </row>
    <row r="6698" spans="1:4" x14ac:dyDescent="0.25">
      <c r="A6698" t="str">
        <f>T("   842430")</f>
        <v xml:space="preserve">   842430</v>
      </c>
      <c r="B6698" t="s">
        <v>409</v>
      </c>
      <c r="C6698">
        <v>55757</v>
      </c>
      <c r="D6698">
        <v>15</v>
      </c>
    </row>
    <row r="6699" spans="1:4" x14ac:dyDescent="0.25">
      <c r="A6699" t="str">
        <f>T("   842489")</f>
        <v xml:space="preserve">   842489</v>
      </c>
      <c r="B6699"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6699">
        <v>23614560</v>
      </c>
      <c r="D6699">
        <v>3380</v>
      </c>
    </row>
    <row r="6700" spans="1:4" x14ac:dyDescent="0.25">
      <c r="A6700" t="str">
        <f>T("   842541")</f>
        <v xml:space="preserve">   842541</v>
      </c>
      <c r="B6700" t="str">
        <f>T("   Elévateurs fixes des types utilisés dans les garages pour voitures")</f>
        <v xml:space="preserve">   Elévateurs fixes des types utilisés dans les garages pour voitures</v>
      </c>
      <c r="C6700">
        <v>1500180</v>
      </c>
      <c r="D6700">
        <v>5500</v>
      </c>
    </row>
    <row r="6701" spans="1:4" x14ac:dyDescent="0.25">
      <c r="A6701" t="str">
        <f>T("   842542")</f>
        <v xml:space="preserve">   842542</v>
      </c>
      <c r="B6701" t="str">
        <f>T("   Crics et vérins, hydrauliques (sauf élévateurs fixes des types utilisés dans les garages pour voitures)")</f>
        <v xml:space="preserve">   Crics et vérins, hydrauliques (sauf élévateurs fixes des types utilisés dans les garages pour voitures)</v>
      </c>
      <c r="C6701">
        <v>2926894</v>
      </c>
      <c r="D6701">
        <v>230.6</v>
      </c>
    </row>
    <row r="6702" spans="1:4" x14ac:dyDescent="0.25">
      <c r="A6702" t="str">
        <f>T("   842620")</f>
        <v xml:space="preserve">   842620</v>
      </c>
      <c r="B6702" t="str">
        <f>T("   Grues à tour")</f>
        <v xml:space="preserve">   Grues à tour</v>
      </c>
      <c r="C6702">
        <v>2850000</v>
      </c>
      <c r="D6702">
        <v>30000</v>
      </c>
    </row>
    <row r="6703" spans="1:4" x14ac:dyDescent="0.25">
      <c r="A6703" t="str">
        <f>T("   842699")</f>
        <v xml:space="preserve">   842699</v>
      </c>
      <c r="B6703" t="s">
        <v>411</v>
      </c>
      <c r="C6703">
        <v>679286</v>
      </c>
      <c r="D6703">
        <v>4082</v>
      </c>
    </row>
    <row r="6704" spans="1:4" x14ac:dyDescent="0.25">
      <c r="A6704" t="str">
        <f>T("   842919")</f>
        <v xml:space="preserve">   842919</v>
      </c>
      <c r="B6704" t="str">
        <f>T("   Bouteurs 'bulldozers' et bouteurs biais 'angledozers', sur roues")</f>
        <v xml:space="preserve">   Bouteurs 'bulldozers' et bouteurs biais 'angledozers', sur roues</v>
      </c>
      <c r="C6704">
        <v>5903640</v>
      </c>
      <c r="D6704">
        <v>22000</v>
      </c>
    </row>
    <row r="6705" spans="1:4" x14ac:dyDescent="0.25">
      <c r="A6705" t="str">
        <f>T("   842959")</f>
        <v xml:space="preserve">   842959</v>
      </c>
      <c r="B6705"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6705">
        <v>2307835</v>
      </c>
      <c r="D6705">
        <v>9500</v>
      </c>
    </row>
    <row r="6706" spans="1:4" x14ac:dyDescent="0.25">
      <c r="A6706" t="str">
        <f>T("   843049")</f>
        <v xml:space="preserve">   843049</v>
      </c>
      <c r="B6706"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6706">
        <v>1140150</v>
      </c>
      <c r="D6706">
        <v>600</v>
      </c>
    </row>
    <row r="6707" spans="1:4" x14ac:dyDescent="0.25">
      <c r="A6707" t="str">
        <f>T("   843069")</f>
        <v xml:space="preserve">   843069</v>
      </c>
      <c r="B6707"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6707">
        <v>3793417</v>
      </c>
      <c r="D6707">
        <v>933</v>
      </c>
    </row>
    <row r="6708" spans="1:4" x14ac:dyDescent="0.25">
      <c r="A6708" t="str">
        <f>T("   843120")</f>
        <v xml:space="preserve">   843120</v>
      </c>
      <c r="B6708" t="str">
        <f>T("   Parties de chariots-gerbeurs et autres chariots de manutention munis d'un dispositif de levage, n.d.a.")</f>
        <v xml:space="preserve">   Parties de chariots-gerbeurs et autres chariots de manutention munis d'un dispositif de levage, n.d.a.</v>
      </c>
      <c r="C6708">
        <v>82402</v>
      </c>
      <c r="D6708">
        <v>62</v>
      </c>
    </row>
    <row r="6709" spans="1:4" x14ac:dyDescent="0.25">
      <c r="A6709" t="str">
        <f>T("   843139")</f>
        <v xml:space="preserve">   843139</v>
      </c>
      <c r="B6709" t="str">
        <f>T("   Parties de machines et appareils du n° 8428, n.d.a.")</f>
        <v xml:space="preserve">   Parties de machines et appareils du n° 8428, n.d.a.</v>
      </c>
      <c r="C6709">
        <v>27103520</v>
      </c>
      <c r="D6709">
        <v>1304</v>
      </c>
    </row>
    <row r="6710" spans="1:4" x14ac:dyDescent="0.25">
      <c r="A6710" t="str">
        <f>T("   843141")</f>
        <v xml:space="preserve">   843141</v>
      </c>
      <c r="B6710" t="str">
        <f>T("   Godets, bennes, bennes-preneuses, pelles, grappins et pinces pour machines et appareils du n° 8426, 8429 ou 8430")</f>
        <v xml:space="preserve">   Godets, bennes, bennes-preneuses, pelles, grappins et pinces pour machines et appareils du n° 8426, 8429 ou 8430</v>
      </c>
      <c r="C6710">
        <v>1500181</v>
      </c>
      <c r="D6710">
        <v>4500</v>
      </c>
    </row>
    <row r="6711" spans="1:4" x14ac:dyDescent="0.25">
      <c r="A6711" t="str">
        <f>T("   843149")</f>
        <v xml:space="preserve">   843149</v>
      </c>
      <c r="B6711" t="str">
        <f>T("   Parties de machines et appareils du n° 8426, 8429 ou 8430, n.d.a.")</f>
        <v xml:space="preserve">   Parties de machines et appareils du n° 8426, 8429 ou 8430, n.d.a.</v>
      </c>
      <c r="C6711">
        <v>966885</v>
      </c>
      <c r="D6711">
        <v>238</v>
      </c>
    </row>
    <row r="6712" spans="1:4" x14ac:dyDescent="0.25">
      <c r="A6712" t="str">
        <f>T("   843280")</f>
        <v xml:space="preserve">   843280</v>
      </c>
      <c r="B6712" t="s">
        <v>412</v>
      </c>
      <c r="C6712">
        <v>1100000</v>
      </c>
      <c r="D6712">
        <v>9200</v>
      </c>
    </row>
    <row r="6713" spans="1:4" x14ac:dyDescent="0.25">
      <c r="A6713" t="str">
        <f>T("   843319")</f>
        <v xml:space="preserve">   843319</v>
      </c>
      <c r="B6713" t="str">
        <f>T("   Tondeuses à gazon à moteur, dont le dispositif de coupe tourne dans un plan vertical, ou à barre de coupe")</f>
        <v xml:space="preserve">   Tondeuses à gazon à moteur, dont le dispositif de coupe tourne dans un plan vertical, ou à barre de coupe</v>
      </c>
      <c r="C6713">
        <v>426374</v>
      </c>
      <c r="D6713">
        <v>810</v>
      </c>
    </row>
    <row r="6714" spans="1:4" x14ac:dyDescent="0.25">
      <c r="A6714" t="str">
        <f>T("   843810")</f>
        <v xml:space="preserve">   843810</v>
      </c>
      <c r="B6714" t="s">
        <v>416</v>
      </c>
      <c r="C6714">
        <v>2727486219</v>
      </c>
      <c r="D6714">
        <v>294520</v>
      </c>
    </row>
    <row r="6715" spans="1:4" x14ac:dyDescent="0.25">
      <c r="A6715" t="str">
        <f>T("   843880")</f>
        <v xml:space="preserve">   843880</v>
      </c>
      <c r="B6715" t="str">
        <f>T("   Machines et appareils pour la préparation ou la fabrication industrielles d'aliments ou de boissons, n.d.a.")</f>
        <v xml:space="preserve">   Machines et appareils pour la préparation ou la fabrication industrielles d'aliments ou de boissons, n.d.a.</v>
      </c>
      <c r="C6715">
        <v>477742</v>
      </c>
      <c r="D6715">
        <v>102</v>
      </c>
    </row>
    <row r="6716" spans="1:4" x14ac:dyDescent="0.25">
      <c r="A6716" t="str">
        <f>T("   843890")</f>
        <v xml:space="preserve">   843890</v>
      </c>
      <c r="B6716"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6716">
        <v>1434441</v>
      </c>
      <c r="D6716">
        <v>186</v>
      </c>
    </row>
    <row r="6717" spans="1:4" x14ac:dyDescent="0.25">
      <c r="A6717" t="str">
        <f>T("   844090")</f>
        <v xml:space="preserve">   844090</v>
      </c>
      <c r="B6717" t="str">
        <f>T("   Parties de machines et appareils pour le brochage ou la reliure, n.d.a.")</f>
        <v xml:space="preserve">   Parties de machines et appareils pour le brochage ou la reliure, n.d.a.</v>
      </c>
      <c r="C6717">
        <v>728116</v>
      </c>
      <c r="D6717">
        <v>40</v>
      </c>
    </row>
    <row r="6718" spans="1:4" x14ac:dyDescent="0.25">
      <c r="A6718" t="str">
        <f>T("   844190")</f>
        <v xml:space="preserve">   844190</v>
      </c>
      <c r="B6718" t="str">
        <f>T("   Parties de machines et appareils pour le travail de la pâte à papier, du papier ou du carton, n.d.a.")</f>
        <v xml:space="preserve">   Parties de machines et appareils pour le travail de la pâte à papier, du papier ou du carton, n.d.a.</v>
      </c>
      <c r="C6718">
        <v>176453</v>
      </c>
      <c r="D6718">
        <v>5</v>
      </c>
    </row>
    <row r="6719" spans="1:4" x14ac:dyDescent="0.25">
      <c r="A6719" t="str">
        <f>T("   844359")</f>
        <v xml:space="preserve">   844359</v>
      </c>
      <c r="B6719" t="s">
        <v>421</v>
      </c>
      <c r="C6719">
        <v>14445453</v>
      </c>
      <c r="D6719">
        <v>18667</v>
      </c>
    </row>
    <row r="6720" spans="1:4" x14ac:dyDescent="0.25">
      <c r="A6720" t="str">
        <f>T("   844390")</f>
        <v xml:space="preserve">   844390</v>
      </c>
      <c r="B6720" t="str">
        <f>T("   Parties de machines et appareils à imprimer et de leur machines et appareils auxiliaires, n.d.a.")</f>
        <v xml:space="preserve">   Parties de machines et appareils à imprimer et de leur machines et appareils auxiliaires, n.d.a.</v>
      </c>
      <c r="C6720">
        <v>265008</v>
      </c>
      <c r="D6720">
        <v>60</v>
      </c>
    </row>
    <row r="6721" spans="1:4" x14ac:dyDescent="0.25">
      <c r="A6721" t="str">
        <f>T("   844590")</f>
        <v xml:space="preserve">   844590</v>
      </c>
      <c r="B6721" t="s">
        <v>422</v>
      </c>
      <c r="C6721">
        <v>419814</v>
      </c>
      <c r="D6721">
        <v>460</v>
      </c>
    </row>
    <row r="6722" spans="1:4" x14ac:dyDescent="0.25">
      <c r="A6722" t="str">
        <f>T("   844790")</f>
        <v xml:space="preserve">   844790</v>
      </c>
      <c r="B6722" t="str">
        <f>T("   Machines et métiers à guipure, à tulle, à dentelle, à broderie, à passementerie, à tresses, à filet ou à touffeter (sauf couso-brodeurs)")</f>
        <v xml:space="preserve">   Machines et métiers à guipure, à tulle, à dentelle, à broderie, à passementerie, à tresses, à filet ou à touffeter (sauf couso-brodeurs)</v>
      </c>
      <c r="C6722">
        <v>213187</v>
      </c>
      <c r="D6722">
        <v>30</v>
      </c>
    </row>
    <row r="6723" spans="1:4" x14ac:dyDescent="0.25">
      <c r="A6723" t="str">
        <f>T("   845011")</f>
        <v xml:space="preserve">   845011</v>
      </c>
      <c r="B6723" t="str">
        <f>T("   Machines à laver le linge entièrement automatiques, d'une capacité unitaire exprimée en poids de linge sec &lt;= 6 kg")</f>
        <v xml:space="preserve">   Machines à laver le linge entièrement automatiques, d'une capacité unitaire exprimée en poids de linge sec &lt;= 6 kg</v>
      </c>
      <c r="C6723">
        <v>5117576</v>
      </c>
      <c r="D6723">
        <v>4625</v>
      </c>
    </row>
    <row r="6724" spans="1:4" x14ac:dyDescent="0.25">
      <c r="A6724" t="str">
        <f>T("   845019")</f>
        <v xml:space="preserve">   845019</v>
      </c>
      <c r="B6724"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6724">
        <v>400792</v>
      </c>
      <c r="D6724">
        <v>1675</v>
      </c>
    </row>
    <row r="6725" spans="1:4" x14ac:dyDescent="0.25">
      <c r="A6725" t="str">
        <f>T("   845090")</f>
        <v xml:space="preserve">   845090</v>
      </c>
      <c r="B6725" t="str">
        <f>T("   Parties de machines à laver le linge, n.d.a.")</f>
        <v xml:space="preserve">   Parties de machines à laver le linge, n.d.a.</v>
      </c>
      <c r="C6725">
        <v>76307</v>
      </c>
      <c r="D6725">
        <v>8</v>
      </c>
    </row>
    <row r="6726" spans="1:4" x14ac:dyDescent="0.25">
      <c r="A6726" t="str">
        <f>T("   845121")</f>
        <v xml:space="preserve">   845121</v>
      </c>
      <c r="B6726" t="str">
        <f>T("   Machines à sécher, capacité unitaire en poids de linge sec &lt;= 10 kg (à l'excl. des essoreuses centrifuges)")</f>
        <v xml:space="preserve">   Machines à sécher, capacité unitaire en poids de linge sec &lt;= 10 kg (à l'excl. des essoreuses centrifuges)</v>
      </c>
      <c r="C6726">
        <v>596864</v>
      </c>
      <c r="D6726">
        <v>156</v>
      </c>
    </row>
    <row r="6727" spans="1:4" x14ac:dyDescent="0.25">
      <c r="A6727" t="str">
        <f>T("   845210")</f>
        <v xml:space="preserve">   845210</v>
      </c>
      <c r="B6727" t="str">
        <f>T("   Machines à coudre de type ménager")</f>
        <v xml:space="preserve">   Machines à coudre de type ménager</v>
      </c>
      <c r="C6727">
        <v>588390</v>
      </c>
      <c r="D6727">
        <v>887</v>
      </c>
    </row>
    <row r="6728" spans="1:4" x14ac:dyDescent="0.25">
      <c r="A6728" t="str">
        <f>T("   845229")</f>
        <v xml:space="preserve">   845229</v>
      </c>
      <c r="B6728" t="str">
        <f>T("   Machines à coudre de type industriel (sauf unités automatiques)")</f>
        <v xml:space="preserve">   Machines à coudre de type industriel (sauf unités automatiques)</v>
      </c>
      <c r="C6728">
        <v>675640</v>
      </c>
      <c r="D6728">
        <v>2653</v>
      </c>
    </row>
    <row r="6729" spans="1:4" x14ac:dyDescent="0.25">
      <c r="A6729" t="str">
        <f>T("   845899")</f>
        <v xml:space="preserve">   845899</v>
      </c>
      <c r="B6729" t="s">
        <v>426</v>
      </c>
      <c r="C6729">
        <v>750418</v>
      </c>
      <c r="D6729">
        <v>4795</v>
      </c>
    </row>
    <row r="6730" spans="1:4" x14ac:dyDescent="0.25">
      <c r="A6730" t="str">
        <f>T("   845929")</f>
        <v xml:space="preserve">   845929</v>
      </c>
      <c r="B6730" t="s">
        <v>427</v>
      </c>
      <c r="C6730">
        <v>907409</v>
      </c>
      <c r="D6730">
        <v>270</v>
      </c>
    </row>
    <row r="6731" spans="1:4" x14ac:dyDescent="0.25">
      <c r="A6731" t="str">
        <f>T("   845969")</f>
        <v xml:space="preserve">   845969</v>
      </c>
      <c r="B6731" t="str">
        <f>T("   Machines à fraiser les métaux par enlèvement de matières (autres qu'à commande numérique et sauf unités d'usinage à glissières, aléseuses-fraiseuses combinées, machines à fraiser à console et machines à tailler les engrenages)")</f>
        <v xml:space="preserve">   Machines à fraiser les métaux par enlèvement de matières (autres qu'à commande numérique et sauf unités d'usinage à glissières, aléseuses-fraiseuses combinées, machines à fraiser à console et machines à tailler les engrenages)</v>
      </c>
      <c r="C6731">
        <v>1972636</v>
      </c>
      <c r="D6731">
        <v>588</v>
      </c>
    </row>
    <row r="6732" spans="1:4" x14ac:dyDescent="0.25">
      <c r="A6732" t="str">
        <f>T("   846011")</f>
        <v xml:space="preserve">   846011</v>
      </c>
      <c r="B6732" t="str">
        <f>T("   Machines à rectifier les surfaces planes dont le positionnement dans un des axes peut être réglé à au moins 0,01 mm près, à commande numérique, pour le travail des métaux")</f>
        <v xml:space="preserve">   Machines à rectifier les surfaces planes dont le positionnement dans un des axes peut être réglé à au moins 0,01 mm près, à commande numérique, pour le travail des métaux</v>
      </c>
      <c r="C6732">
        <v>6600348</v>
      </c>
      <c r="D6732">
        <v>1232</v>
      </c>
    </row>
    <row r="6733" spans="1:4" x14ac:dyDescent="0.25">
      <c r="A6733" t="str">
        <f>T("   846190")</f>
        <v xml:space="preserve">   846190</v>
      </c>
      <c r="B6733" t="str">
        <f>T("   Machines à raboter et autres machines-outils travaillant par enlèvement de métal, n.d.a.")</f>
        <v xml:space="preserve">   Machines à raboter et autres machines-outils travaillant par enlèvement de métal, n.d.a.</v>
      </c>
      <c r="C6733">
        <v>3353477</v>
      </c>
      <c r="D6733">
        <v>1000</v>
      </c>
    </row>
    <row r="6734" spans="1:4" x14ac:dyDescent="0.25">
      <c r="A6734" t="str">
        <f>T("   846390")</f>
        <v xml:space="preserve">   846390</v>
      </c>
      <c r="B6734" t="s">
        <v>429</v>
      </c>
      <c r="C6734">
        <v>852748</v>
      </c>
      <c r="D6734">
        <v>6145</v>
      </c>
    </row>
    <row r="6735" spans="1:4" x14ac:dyDescent="0.25">
      <c r="A6735" t="str">
        <f>T("   846410")</f>
        <v xml:space="preserve">   846410</v>
      </c>
      <c r="B6735" t="str">
        <f>T("   Machines à scier pour le travail de la pierre, des produits céramiques, du béton, de l'amiante-ciment ou de matières minérales simil., ou pour le travail à froid du verre (à l'excl. des machines pour emploi à la main)")</f>
        <v xml:space="preserve">   Machines à scier pour le travail de la pierre, des produits céramiques, du béton, de l'amiante-ciment ou de matières minérales simil., ou pour le travail à froid du verre (à l'excl. des machines pour emploi à la main)</v>
      </c>
      <c r="C6735">
        <v>400000</v>
      </c>
      <c r="D6735">
        <v>500</v>
      </c>
    </row>
    <row r="6736" spans="1:4" x14ac:dyDescent="0.25">
      <c r="A6736" t="str">
        <f>T("   846591")</f>
        <v xml:space="preserve">   846591</v>
      </c>
      <c r="B6736" t="str">
        <f>T("   Machines à scier, pour le travail du bois, des matières plastiques dures, etc. (autres que pour emploi à la main)")</f>
        <v xml:space="preserve">   Machines à scier, pour le travail du bois, des matières plastiques dures, etc. (autres que pour emploi à la main)</v>
      </c>
      <c r="C6736">
        <v>1700903</v>
      </c>
      <c r="D6736">
        <v>7785</v>
      </c>
    </row>
    <row r="6737" spans="1:4" x14ac:dyDescent="0.25">
      <c r="A6737" t="str">
        <f>T("   846596")</f>
        <v xml:space="preserve">   846596</v>
      </c>
      <c r="B6737" t="str">
        <f>T("   Machines à fendre, à trancher ou à dérouler, pour le travail du bois")</f>
        <v xml:space="preserve">   Machines à fendre, à trancher ou à dérouler, pour le travail du bois</v>
      </c>
      <c r="C6737">
        <v>9402530</v>
      </c>
      <c r="D6737">
        <v>2300</v>
      </c>
    </row>
    <row r="6738" spans="1:4" x14ac:dyDescent="0.25">
      <c r="A6738" t="str">
        <f>T("   846599")</f>
        <v xml:space="preserve">   846599</v>
      </c>
      <c r="B6738" t="s">
        <v>431</v>
      </c>
      <c r="C6738">
        <v>9864779</v>
      </c>
      <c r="D6738">
        <v>18700</v>
      </c>
    </row>
    <row r="6739" spans="1:4" x14ac:dyDescent="0.25">
      <c r="A6739" t="str">
        <f>T("   846610")</f>
        <v xml:space="preserve">   846610</v>
      </c>
      <c r="B6739" t="str">
        <f>T("   Porte-outils pour machines-outils, y.c. l'outillage à main de tous types, et filières à déclenchement automatique")</f>
        <v xml:space="preserve">   Porte-outils pour machines-outils, y.c. l'outillage à main de tous types, et filières à déclenchement automatique</v>
      </c>
      <c r="C6739">
        <v>1842546</v>
      </c>
      <c r="D6739">
        <v>616</v>
      </c>
    </row>
    <row r="6740" spans="1:4" x14ac:dyDescent="0.25">
      <c r="A6740" t="str">
        <f>T("   846694")</f>
        <v xml:space="preserve">   846694</v>
      </c>
      <c r="B6740" t="str">
        <f>T("   Parties et accessoires pour machines-outils pour le travail du métal avec enlèvement de matière, n.d.a.")</f>
        <v xml:space="preserve">   Parties et accessoires pour machines-outils pour le travail du métal avec enlèvement de matière, n.d.a.</v>
      </c>
      <c r="C6740">
        <v>24447243</v>
      </c>
      <c r="D6740">
        <v>3607</v>
      </c>
    </row>
    <row r="6741" spans="1:4" x14ac:dyDescent="0.25">
      <c r="A6741" t="str">
        <f>T("   846880")</f>
        <v xml:space="preserve">   846880</v>
      </c>
      <c r="B6741" t="str">
        <f>T("   Machines et appareils pour le brasage ou le soudage (autres qu'aux gaz et à l'excl. des machines ou appareils pour le brasage ou le soudage électriques du n° 8515)")</f>
        <v xml:space="preserve">   Machines et appareils pour le brasage ou le soudage (autres qu'aux gaz et à l'excl. des machines ou appareils pour le brasage ou le soudage électriques du n° 8515)</v>
      </c>
      <c r="C6741">
        <v>2251255</v>
      </c>
      <c r="D6741">
        <v>1660</v>
      </c>
    </row>
    <row r="6742" spans="1:4" x14ac:dyDescent="0.25">
      <c r="A6742" t="str">
        <f>T("   846920")</f>
        <v xml:space="preserve">   846920</v>
      </c>
      <c r="B6742" t="str">
        <f>T("   Machines à écrire électriques (à l'excl. des machines à écrire automatiques, des unités pour machines automatiques de traitement de l'information du n° 8471, ainsi que des imprimantes au laser, thermiques ou électrosensibles)")</f>
        <v xml:space="preserve">   Machines à écrire électriques (à l'excl. des machines à écrire automatiques, des unités pour machines automatiques de traitement de l'information du n° 8471, ainsi que des imprimantes au laser, thermiques ou électrosensibles)</v>
      </c>
      <c r="C6742">
        <v>20335</v>
      </c>
      <c r="D6742">
        <v>20</v>
      </c>
    </row>
    <row r="6743" spans="1:4" x14ac:dyDescent="0.25">
      <c r="A6743" t="str">
        <f>T("   847090")</f>
        <v xml:space="preserve">   847090</v>
      </c>
      <c r="B6743" t="str">
        <f>T("   Machines à affranchir, à établir les tickets et simil., avec dispositif de calcul (à l'excl. des machines comptables, des caisses enregistreuses et des distributeurs automatiques)")</f>
        <v xml:space="preserve">   Machines à affranchir, à établir les tickets et simil., avec dispositif de calcul (à l'excl. des machines comptables, des caisses enregistreuses et des distributeurs automatiques)</v>
      </c>
      <c r="C6743">
        <v>127256</v>
      </c>
      <c r="D6743">
        <v>2</v>
      </c>
    </row>
    <row r="6744" spans="1:4" x14ac:dyDescent="0.25">
      <c r="A6744" t="str">
        <f>T("   847180")</f>
        <v xml:space="preserve">   847180</v>
      </c>
      <c r="B6744"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6744">
        <v>64022</v>
      </c>
      <c r="D6744">
        <v>70</v>
      </c>
    </row>
    <row r="6745" spans="1:4" x14ac:dyDescent="0.25">
      <c r="A6745" t="str">
        <f>T("   847981")</f>
        <v xml:space="preserve">   847981</v>
      </c>
      <c r="B6745" t="s">
        <v>440</v>
      </c>
      <c r="C6745">
        <v>168167153</v>
      </c>
      <c r="D6745">
        <v>29400</v>
      </c>
    </row>
    <row r="6746" spans="1:4" x14ac:dyDescent="0.25">
      <c r="A6746" t="str">
        <f>T("   848110")</f>
        <v xml:space="preserve">   848110</v>
      </c>
      <c r="B6746" t="str">
        <f>T("   Détendeurs")</f>
        <v xml:space="preserve">   Détendeurs</v>
      </c>
      <c r="C6746">
        <v>12298660</v>
      </c>
      <c r="D6746">
        <v>2165</v>
      </c>
    </row>
    <row r="6747" spans="1:4" x14ac:dyDescent="0.25">
      <c r="A6747" t="str">
        <f>T("   848180")</f>
        <v xml:space="preserve">   848180</v>
      </c>
      <c r="B6747"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6747">
        <v>2178444</v>
      </c>
      <c r="D6747">
        <v>155</v>
      </c>
    </row>
    <row r="6748" spans="1:4" x14ac:dyDescent="0.25">
      <c r="A6748" t="str">
        <f>T("   848291")</f>
        <v xml:space="preserve">   848291</v>
      </c>
      <c r="B6748" t="str">
        <f>T("   Billes, galets, rouleaux et aiguilles pour roulements (sauf billes en acier du n° 7326)")</f>
        <v xml:space="preserve">   Billes, galets, rouleaux et aiguilles pour roulements (sauf billes en acier du n° 7326)</v>
      </c>
      <c r="C6748">
        <v>50451852</v>
      </c>
      <c r="D6748">
        <v>8800</v>
      </c>
    </row>
    <row r="6749" spans="1:4" x14ac:dyDescent="0.25">
      <c r="A6749" t="str">
        <f>T("   848390")</f>
        <v xml:space="preserve">   848390</v>
      </c>
      <c r="B6749"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6749">
        <v>2622529</v>
      </c>
      <c r="D6749">
        <v>327</v>
      </c>
    </row>
    <row r="6750" spans="1:4" x14ac:dyDescent="0.25">
      <c r="A6750" t="str">
        <f>T("   848490")</f>
        <v xml:space="preserve">   848490</v>
      </c>
      <c r="B6750" t="str">
        <f>T("   Jeux ou assortiments de joints de composition différente présentés en pochettes, enveloppes ou emballages analogues")</f>
        <v xml:space="preserve">   Jeux ou assortiments de joints de composition différente présentés en pochettes, enveloppes ou emballages analogues</v>
      </c>
      <c r="C6750">
        <v>2939599</v>
      </c>
      <c r="D6750">
        <v>288</v>
      </c>
    </row>
    <row r="6751" spans="1:4" x14ac:dyDescent="0.25">
      <c r="A6751" t="str">
        <f>T("   850211")</f>
        <v xml:space="preserve">   850211</v>
      </c>
      <c r="B6751" t="s">
        <v>444</v>
      </c>
      <c r="C6751">
        <v>348333126</v>
      </c>
      <c r="D6751">
        <v>50896</v>
      </c>
    </row>
    <row r="6752" spans="1:4" x14ac:dyDescent="0.25">
      <c r="A6752" t="str">
        <f>T("   850212")</f>
        <v xml:space="preserve">   850212</v>
      </c>
      <c r="B6752"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6752">
        <v>3533433</v>
      </c>
      <c r="D6752">
        <v>2160</v>
      </c>
    </row>
    <row r="6753" spans="1:4" x14ac:dyDescent="0.25">
      <c r="A6753" t="str">
        <f>T("   850239")</f>
        <v xml:space="preserve">   850239</v>
      </c>
      <c r="B6753" t="str">
        <f>T("   Groupes électrogènes (autres qu'à énergie éolienne et à moteurs à piston)")</f>
        <v xml:space="preserve">   Groupes électrogènes (autres qu'à énergie éolienne et à moteurs à piston)</v>
      </c>
      <c r="C6753">
        <v>440737</v>
      </c>
      <c r="D6753">
        <v>800</v>
      </c>
    </row>
    <row r="6754" spans="1:4" x14ac:dyDescent="0.25">
      <c r="A6754" t="str">
        <f>T("   850240")</f>
        <v xml:space="preserve">   850240</v>
      </c>
      <c r="B6754" t="str">
        <f>T("   Convertisseurs rotatifs électriques")</f>
        <v xml:space="preserve">   Convertisseurs rotatifs électriques</v>
      </c>
      <c r="C6754">
        <v>5430693</v>
      </c>
      <c r="D6754">
        <v>84</v>
      </c>
    </row>
    <row r="6755" spans="1:4" x14ac:dyDescent="0.25">
      <c r="A6755" t="str">
        <f>T("   850433")</f>
        <v xml:space="preserve">   850433</v>
      </c>
      <c r="B6755" t="str">
        <f>T("   Transformateurs à sec, puissance &gt; 16 kVA mais &lt;= 500 kVA")</f>
        <v xml:space="preserve">   Transformateurs à sec, puissance &gt; 16 kVA mais &lt;= 500 kVA</v>
      </c>
      <c r="C6755">
        <v>40503675</v>
      </c>
      <c r="D6755">
        <v>12492</v>
      </c>
    </row>
    <row r="6756" spans="1:4" x14ac:dyDescent="0.25">
      <c r="A6756" t="str">
        <f>T("   850434")</f>
        <v xml:space="preserve">   850434</v>
      </c>
      <c r="B6756" t="str">
        <f>T("   Transformateurs à sec, puissance &gt; 500 kVA")</f>
        <v xml:space="preserve">   Transformateurs à sec, puissance &gt; 500 kVA</v>
      </c>
      <c r="C6756">
        <v>32805216</v>
      </c>
      <c r="D6756">
        <v>3100</v>
      </c>
    </row>
    <row r="6757" spans="1:4" x14ac:dyDescent="0.25">
      <c r="A6757" t="str">
        <f>T("   850680")</f>
        <v xml:space="preserve">   850680</v>
      </c>
      <c r="B6757"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6757">
        <v>329312</v>
      </c>
      <c r="D6757">
        <v>330</v>
      </c>
    </row>
    <row r="6758" spans="1:4" x14ac:dyDescent="0.25">
      <c r="A6758" t="str">
        <f>T("   850710")</f>
        <v xml:space="preserve">   850710</v>
      </c>
      <c r="B6758" t="str">
        <f>T("   Accumulateurs au plomb, pour le démarrage des moteurs à piston (sauf hors d'usage)")</f>
        <v xml:space="preserve">   Accumulateurs au plomb, pour le démarrage des moteurs à piston (sauf hors d'usage)</v>
      </c>
      <c r="C6758">
        <v>1368431</v>
      </c>
      <c r="D6758">
        <v>10000</v>
      </c>
    </row>
    <row r="6759" spans="1:4" x14ac:dyDescent="0.25">
      <c r="A6759" t="str">
        <f>T("   850780")</f>
        <v xml:space="preserve">   850780</v>
      </c>
      <c r="B6759" t="str">
        <f>T("   Accumulateurs électriques (sauf hors d'usage et autres qu'au plomb, au nickel-cadmium ou au nickel-fer)")</f>
        <v xml:space="preserve">   Accumulateurs électriques (sauf hors d'usage et autres qu'au plomb, au nickel-cadmium ou au nickel-fer)</v>
      </c>
      <c r="C6759">
        <v>5409979</v>
      </c>
      <c r="D6759">
        <v>476</v>
      </c>
    </row>
    <row r="6760" spans="1:4" x14ac:dyDescent="0.25">
      <c r="A6760" t="str">
        <f>T("   850910")</f>
        <v xml:space="preserve">   850910</v>
      </c>
      <c r="B6760"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6760">
        <v>254513</v>
      </c>
      <c r="D6760">
        <v>185</v>
      </c>
    </row>
    <row r="6761" spans="1:4" x14ac:dyDescent="0.25">
      <c r="A6761" t="str">
        <f>T("   850940")</f>
        <v xml:space="preserve">   850940</v>
      </c>
      <c r="B6761"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6761">
        <v>1225333</v>
      </c>
      <c r="D6761">
        <v>560</v>
      </c>
    </row>
    <row r="6762" spans="1:4" x14ac:dyDescent="0.25">
      <c r="A6762" t="str">
        <f>T("   850980")</f>
        <v xml:space="preserve">   850980</v>
      </c>
      <c r="B6762" t="s">
        <v>447</v>
      </c>
      <c r="C6762">
        <v>1311920</v>
      </c>
      <c r="D6762">
        <v>73</v>
      </c>
    </row>
    <row r="6763" spans="1:4" x14ac:dyDescent="0.25">
      <c r="A6763" t="str">
        <f>T("   851430")</f>
        <v xml:space="preserve">   851430</v>
      </c>
      <c r="B6763"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6763">
        <v>10103465</v>
      </c>
      <c r="D6763">
        <v>1020</v>
      </c>
    </row>
    <row r="6764" spans="1:4" x14ac:dyDescent="0.25">
      <c r="A6764" t="str">
        <f>T("   851580")</f>
        <v xml:space="preserve">   851580</v>
      </c>
      <c r="B6764" t="s">
        <v>450</v>
      </c>
      <c r="C6764">
        <v>58958997</v>
      </c>
      <c r="D6764">
        <v>2900</v>
      </c>
    </row>
    <row r="6765" spans="1:4" x14ac:dyDescent="0.25">
      <c r="A6765" t="str">
        <f>T("   851590")</f>
        <v xml:space="preserve">   851590</v>
      </c>
      <c r="B6765" t="str">
        <f>T("   Parties de machines et appareils électriques pour le brasage, le soudage ou la projection à chaud de métaux, de carbures métalliques frittés ou de cermets, n.d.a.")</f>
        <v xml:space="preserve">   Parties de machines et appareils électriques pour le brasage, le soudage ou la projection à chaud de métaux, de carbures métalliques frittés ou de cermets, n.d.a.</v>
      </c>
      <c r="C6765">
        <v>5285726</v>
      </c>
      <c r="D6765">
        <v>675</v>
      </c>
    </row>
    <row r="6766" spans="1:4" x14ac:dyDescent="0.25">
      <c r="A6766" t="str">
        <f>T("   851632")</f>
        <v xml:space="preserve">   851632</v>
      </c>
      <c r="B6766" t="str">
        <f>T("   Appareils électrothermiques pour la coiffure (autres que sèche-cheveux)")</f>
        <v xml:space="preserve">   Appareils électrothermiques pour la coiffure (autres que sèche-cheveux)</v>
      </c>
      <c r="C6766">
        <v>65596</v>
      </c>
      <c r="D6766">
        <v>50</v>
      </c>
    </row>
    <row r="6767" spans="1:4" x14ac:dyDescent="0.25">
      <c r="A6767" t="str">
        <f>T("   851650")</f>
        <v xml:space="preserve">   851650</v>
      </c>
      <c r="B6767" t="str">
        <f>T("   Fours à micro-ondes")</f>
        <v xml:space="preserve">   Fours à micro-ondes</v>
      </c>
      <c r="C6767">
        <v>2610426</v>
      </c>
      <c r="D6767">
        <v>1000</v>
      </c>
    </row>
    <row r="6768" spans="1:4" x14ac:dyDescent="0.25">
      <c r="A6768" t="str">
        <f>T("   851660")</f>
        <v xml:space="preserve">   851660</v>
      </c>
      <c r="B6768"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6768">
        <v>38947514</v>
      </c>
      <c r="D6768">
        <v>15721</v>
      </c>
    </row>
    <row r="6769" spans="1:4" x14ac:dyDescent="0.25">
      <c r="A6769" t="str">
        <f>T("   851671")</f>
        <v xml:space="preserve">   851671</v>
      </c>
      <c r="B6769" t="str">
        <f>T("   Appareils électriques pour la préparation du café ou du thé, pour usages domestiques")</f>
        <v xml:space="preserve">   Appareils électriques pour la préparation du café ou du thé, pour usages domestiques</v>
      </c>
      <c r="C6769">
        <v>1611038</v>
      </c>
      <c r="D6769">
        <v>358</v>
      </c>
    </row>
    <row r="6770" spans="1:4" x14ac:dyDescent="0.25">
      <c r="A6770" t="str">
        <f>T("   851679")</f>
        <v xml:space="preserve">   851679</v>
      </c>
      <c r="B6770" t="s">
        <v>451</v>
      </c>
      <c r="C6770">
        <v>4707088</v>
      </c>
      <c r="D6770">
        <v>2463</v>
      </c>
    </row>
    <row r="6771" spans="1:4" x14ac:dyDescent="0.25">
      <c r="A6771" t="str">
        <f>T("   851690")</f>
        <v xml:space="preserve">   851690</v>
      </c>
      <c r="B6771"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6771">
        <v>45917</v>
      </c>
      <c r="D6771">
        <v>19</v>
      </c>
    </row>
    <row r="6772" spans="1:4" x14ac:dyDescent="0.25">
      <c r="A6772" t="str">
        <f>T("   851780")</f>
        <v xml:space="preserve">   851780</v>
      </c>
      <c r="B6772" t="s">
        <v>453</v>
      </c>
      <c r="C6772">
        <v>8107598</v>
      </c>
      <c r="D6772">
        <v>710</v>
      </c>
    </row>
    <row r="6773" spans="1:4" x14ac:dyDescent="0.25">
      <c r="A6773" t="str">
        <f>T("   852190")</f>
        <v xml:space="preserve">   852190</v>
      </c>
      <c r="B6773" t="s">
        <v>457</v>
      </c>
      <c r="C6773">
        <v>655960</v>
      </c>
      <c r="D6773">
        <v>1700</v>
      </c>
    </row>
    <row r="6774" spans="1:4" x14ac:dyDescent="0.25">
      <c r="A6774" t="str">
        <f>T("   852520")</f>
        <v xml:space="preserve">   852520</v>
      </c>
      <c r="B6774"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6774">
        <v>2960472</v>
      </c>
      <c r="D6774">
        <v>422</v>
      </c>
    </row>
    <row r="6775" spans="1:4" x14ac:dyDescent="0.25">
      <c r="A6775" t="str">
        <f>T("   852812")</f>
        <v xml:space="preserve">   852812</v>
      </c>
      <c r="B677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6775">
        <v>5946173</v>
      </c>
      <c r="D6775">
        <v>12883</v>
      </c>
    </row>
    <row r="6776" spans="1:4" x14ac:dyDescent="0.25">
      <c r="A6776" t="str">
        <f>T("   852813")</f>
        <v xml:space="preserve">   852813</v>
      </c>
      <c r="B6776"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6776">
        <v>55645</v>
      </c>
      <c r="D6776">
        <v>50</v>
      </c>
    </row>
    <row r="6777" spans="1:4" x14ac:dyDescent="0.25">
      <c r="A6777" t="str">
        <f>T("   852990")</f>
        <v xml:space="preserve">   852990</v>
      </c>
      <c r="B6777" t="s">
        <v>464</v>
      </c>
      <c r="C6777">
        <v>6047951</v>
      </c>
      <c r="D6777">
        <v>30</v>
      </c>
    </row>
    <row r="6778" spans="1:4" x14ac:dyDescent="0.25">
      <c r="A6778" t="str">
        <f>T("   853650")</f>
        <v xml:space="preserve">   853650</v>
      </c>
      <c r="B6778" t="str">
        <f>T("   Interrupteurs, sectionneurs et commutateurs, pour une tension &lt;= 1.000 V (autres que relais et disjoncteurs)")</f>
        <v xml:space="preserve">   Interrupteurs, sectionneurs et commutateurs, pour une tension &lt;= 1.000 V (autres que relais et disjoncteurs)</v>
      </c>
      <c r="C6778">
        <v>672359</v>
      </c>
      <c r="D6778">
        <v>1125</v>
      </c>
    </row>
    <row r="6779" spans="1:4" x14ac:dyDescent="0.25">
      <c r="A6779" t="str">
        <f>T("   853669")</f>
        <v xml:space="preserve">   853669</v>
      </c>
      <c r="B6779" t="str">
        <f>T("   Fiches et prises de courant, pour une tension &lt;= 1.000 V (sauf douilles pour lampes)")</f>
        <v xml:space="preserve">   Fiches et prises de courant, pour une tension &lt;= 1.000 V (sauf douilles pour lampes)</v>
      </c>
      <c r="C6779">
        <v>405514</v>
      </c>
      <c r="D6779">
        <v>705</v>
      </c>
    </row>
    <row r="6780" spans="1:4" x14ac:dyDescent="0.25">
      <c r="A6780" t="str">
        <f>T("   853690")</f>
        <v xml:space="preserve">   853690</v>
      </c>
      <c r="B6780" t="s">
        <v>467</v>
      </c>
      <c r="C6780">
        <v>96120821</v>
      </c>
      <c r="D6780">
        <v>7145</v>
      </c>
    </row>
    <row r="6781" spans="1:4" x14ac:dyDescent="0.25">
      <c r="A6781" t="str">
        <f>T("   853710")</f>
        <v xml:space="preserve">   853710</v>
      </c>
      <c r="B6781"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6781">
        <v>3642985</v>
      </c>
      <c r="D6781">
        <v>1871</v>
      </c>
    </row>
    <row r="6782" spans="1:4" x14ac:dyDescent="0.25">
      <c r="A6782" t="str">
        <f>T("   853810")</f>
        <v xml:space="preserve">   853810</v>
      </c>
      <c r="B6782" t="str">
        <f>T("   Tableaux, panneaux, consoles, pupitres, armoires et autres supports pour articles du n° 8537, dépourvus de leurs appareils")</f>
        <v xml:space="preserve">   Tableaux, panneaux, consoles, pupitres, armoires et autres supports pour articles du n° 8537, dépourvus de leurs appareils</v>
      </c>
      <c r="C6782">
        <v>17102189</v>
      </c>
      <c r="D6782">
        <v>725</v>
      </c>
    </row>
    <row r="6783" spans="1:4" x14ac:dyDescent="0.25">
      <c r="A6783" t="str">
        <f>T("   853939")</f>
        <v xml:space="preserve">   853939</v>
      </c>
      <c r="B6783"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6783">
        <v>586893</v>
      </c>
      <c r="D6783">
        <v>178</v>
      </c>
    </row>
    <row r="6784" spans="1:4" x14ac:dyDescent="0.25">
      <c r="A6784" t="str">
        <f>T("   854140")</f>
        <v xml:space="preserve">   854140</v>
      </c>
      <c r="B6784"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6784">
        <v>2485432</v>
      </c>
      <c r="D6784">
        <v>1000</v>
      </c>
    </row>
    <row r="6785" spans="1:4" x14ac:dyDescent="0.25">
      <c r="A6785" t="str">
        <f>T("   854389")</f>
        <v xml:space="preserve">   854389</v>
      </c>
      <c r="B6785" t="str">
        <f>T("   MACHINES ET APPAREILS ÉLECTRIQUES AYANT UNE FONCTION PROPRE, N.D.A. DANS LE CHAPITRE 85")</f>
        <v xml:space="preserve">   MACHINES ET APPAREILS ÉLECTRIQUES AYANT UNE FONCTION PROPRE, N.D.A. DANS LE CHAPITRE 85</v>
      </c>
      <c r="C6785">
        <v>1000405</v>
      </c>
      <c r="D6785">
        <v>185</v>
      </c>
    </row>
    <row r="6786" spans="1:4" x14ac:dyDescent="0.25">
      <c r="A6786" t="str">
        <f>T("   854420")</f>
        <v xml:space="preserve">   854420</v>
      </c>
      <c r="B6786" t="str">
        <f>T("   Câbles coaxiaux et autres conducteurs électriques coaxiaux, isolés")</f>
        <v xml:space="preserve">   Câbles coaxiaux et autres conducteurs électriques coaxiaux, isolés</v>
      </c>
      <c r="C6786">
        <v>1013471</v>
      </c>
      <c r="D6786">
        <v>1000</v>
      </c>
    </row>
    <row r="6787" spans="1:4" x14ac:dyDescent="0.25">
      <c r="A6787" t="str">
        <f>T("   854449")</f>
        <v xml:space="preserve">   854449</v>
      </c>
      <c r="B6787" t="str">
        <f>T("   CONDUCTEURS ÉLECTRIQUES, POUR TENSION &lt;= 1.000 V, ISOLÉS, SANS PIÈCES DE CONNEXION, N.D.A.")</f>
        <v xml:space="preserve">   CONDUCTEURS ÉLECTRIQUES, POUR TENSION &lt;= 1.000 V, ISOLÉS, SANS PIÈCES DE CONNEXION, N.D.A.</v>
      </c>
      <c r="C6787">
        <v>83420</v>
      </c>
      <c r="D6787">
        <v>285</v>
      </c>
    </row>
    <row r="6788" spans="1:4" x14ac:dyDescent="0.25">
      <c r="A6788" t="str">
        <f>T("   854451")</f>
        <v xml:space="preserve">   854451</v>
      </c>
      <c r="B6788" t="str">
        <f>T("   Conducteurs électriques, pour tension &gt; 80 V mais &lt;= 1.000 V, avec pièces de connexion, n.d.a.")</f>
        <v xml:space="preserve">   Conducteurs électriques, pour tension &gt; 80 V mais &lt;= 1.000 V, avec pièces de connexion, n.d.a.</v>
      </c>
      <c r="C6788">
        <v>839222</v>
      </c>
      <c r="D6788">
        <v>659</v>
      </c>
    </row>
    <row r="6789" spans="1:4" x14ac:dyDescent="0.25">
      <c r="A6789" t="str">
        <f>T("   854470")</f>
        <v xml:space="preserve">   854470</v>
      </c>
      <c r="B6789"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6789">
        <v>7375280</v>
      </c>
      <c r="D6789">
        <v>4</v>
      </c>
    </row>
    <row r="6790" spans="1:4" x14ac:dyDescent="0.25">
      <c r="A6790" t="str">
        <f>T("   870120")</f>
        <v xml:space="preserve">   870120</v>
      </c>
      <c r="B6790" t="str">
        <f>T("   Tracteurs routiers pour semi-remorques")</f>
        <v xml:space="preserve">   Tracteurs routiers pour semi-remorques</v>
      </c>
      <c r="C6790">
        <v>52003055</v>
      </c>
      <c r="D6790">
        <v>184632</v>
      </c>
    </row>
    <row r="6791" spans="1:4" x14ac:dyDescent="0.25">
      <c r="A6791" t="str">
        <f>T("   870210")</f>
        <v xml:space="preserve">   870210</v>
      </c>
      <c r="B6791" t="s">
        <v>469</v>
      </c>
      <c r="C6791">
        <v>4972177</v>
      </c>
      <c r="D6791">
        <v>14400</v>
      </c>
    </row>
    <row r="6792" spans="1:4" x14ac:dyDescent="0.25">
      <c r="A6792" t="str">
        <f>T("   870290")</f>
        <v xml:space="preserve">   870290</v>
      </c>
      <c r="B6792" t="s">
        <v>470</v>
      </c>
      <c r="C6792">
        <v>88662090</v>
      </c>
      <c r="D6792">
        <v>94701.5</v>
      </c>
    </row>
    <row r="6793" spans="1:4" x14ac:dyDescent="0.25">
      <c r="A6793" t="str">
        <f>T("   870322")</f>
        <v xml:space="preserve">   870322</v>
      </c>
      <c r="B6793" t="s">
        <v>472</v>
      </c>
      <c r="C6793">
        <v>121371626</v>
      </c>
      <c r="D6793">
        <v>124002</v>
      </c>
    </row>
    <row r="6794" spans="1:4" x14ac:dyDescent="0.25">
      <c r="A6794" t="str">
        <f>T("   870323")</f>
        <v xml:space="preserve">   870323</v>
      </c>
      <c r="B6794" t="s">
        <v>473</v>
      </c>
      <c r="C6794">
        <v>14478640</v>
      </c>
      <c r="D6794">
        <v>11850</v>
      </c>
    </row>
    <row r="6795" spans="1:4" x14ac:dyDescent="0.25">
      <c r="A6795" t="str">
        <f>T("   870333")</f>
        <v xml:space="preserve">   870333</v>
      </c>
      <c r="B6795" t="s">
        <v>477</v>
      </c>
      <c r="C6795">
        <v>23603077</v>
      </c>
      <c r="D6795">
        <v>2592</v>
      </c>
    </row>
    <row r="6796" spans="1:4" x14ac:dyDescent="0.25">
      <c r="A6796" t="str">
        <f>T("   870421")</f>
        <v xml:space="preserve">   870421</v>
      </c>
      <c r="B6796" t="s">
        <v>478</v>
      </c>
      <c r="C6796">
        <v>16928792</v>
      </c>
      <c r="D6796">
        <v>49605</v>
      </c>
    </row>
    <row r="6797" spans="1:4" x14ac:dyDescent="0.25">
      <c r="A6797" t="str">
        <f>T("   870422")</f>
        <v xml:space="preserve">   870422</v>
      </c>
      <c r="B6797" t="s">
        <v>479</v>
      </c>
      <c r="C6797">
        <v>16538636</v>
      </c>
      <c r="D6797">
        <v>72200</v>
      </c>
    </row>
    <row r="6798" spans="1:4" x14ac:dyDescent="0.25">
      <c r="A6798" t="str">
        <f>T("   870431")</f>
        <v xml:space="preserve">   870431</v>
      </c>
      <c r="B6798" t="s">
        <v>481</v>
      </c>
      <c r="C6798">
        <v>6490635</v>
      </c>
      <c r="D6798">
        <v>6390</v>
      </c>
    </row>
    <row r="6799" spans="1:4" x14ac:dyDescent="0.25">
      <c r="A6799" t="str">
        <f>T("   870490")</f>
        <v xml:space="preserve">   870490</v>
      </c>
      <c r="B6799"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6799">
        <v>3200000</v>
      </c>
      <c r="D6799">
        <v>26000</v>
      </c>
    </row>
    <row r="6800" spans="1:4" x14ac:dyDescent="0.25">
      <c r="A6800" t="str">
        <f>T("   870510")</f>
        <v xml:space="preserve">   870510</v>
      </c>
      <c r="B6800" t="str">
        <f>T("   Camions-grues (sauf dépanneuses)")</f>
        <v xml:space="preserve">   Camions-grues (sauf dépanneuses)</v>
      </c>
      <c r="C6800">
        <v>2742569</v>
      </c>
      <c r="D6800">
        <v>12600</v>
      </c>
    </row>
    <row r="6801" spans="1:4" x14ac:dyDescent="0.25">
      <c r="A6801" t="str">
        <f>T("   870790")</f>
        <v xml:space="preserve">   870790</v>
      </c>
      <c r="B6801" t="str">
        <f>T("   CARROSSERIES DE TRACTEURS, VÉHICULES POUR LE TRANSPORT DE &gt;= 10 PERSONNES, CHAUFFEUR INCLUS, VÉHICULES POUR LE TRANSPORT DE MARCHANDISES ET VÉHICULES À USAGES SPÉCIAUX")</f>
        <v xml:space="preserve">   CARROSSERIES DE TRACTEURS, VÉHICULES POUR LE TRANSPORT DE &gt;= 10 PERSONNES, CHAUFFEUR INCLUS, VÉHICULES POUR LE TRANSPORT DE MARCHANDISES ET VÉHICULES À USAGES SPÉCIAUX</v>
      </c>
      <c r="C6801">
        <v>500498</v>
      </c>
      <c r="D6801">
        <v>500</v>
      </c>
    </row>
    <row r="6802" spans="1:4" x14ac:dyDescent="0.25">
      <c r="A6802" t="str">
        <f>T("   870839")</f>
        <v xml:space="preserve">   870839</v>
      </c>
      <c r="B6802"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6802">
        <v>150000</v>
      </c>
      <c r="D6802">
        <v>1000</v>
      </c>
    </row>
    <row r="6803" spans="1:4" x14ac:dyDescent="0.25">
      <c r="A6803" t="str">
        <f>T("   870899")</f>
        <v xml:space="preserve">   870899</v>
      </c>
      <c r="B6803"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803">
        <v>4999661</v>
      </c>
      <c r="D6803">
        <v>5677</v>
      </c>
    </row>
    <row r="6804" spans="1:4" x14ac:dyDescent="0.25">
      <c r="A6804" t="str">
        <f>T("   871110")</f>
        <v xml:space="preserve">   871110</v>
      </c>
      <c r="B6804" t="str">
        <f>T("   Cyclomoteurs, à moteur à piston alternatif, cylindrée &lt;= 50 cm³, y.c. cycles à moteur auxiliaire")</f>
        <v xml:space="preserve">   Cyclomoteurs, à moteur à piston alternatif, cylindrée &lt;= 50 cm³, y.c. cycles à moteur auxiliaire</v>
      </c>
      <c r="C6804">
        <v>1674000</v>
      </c>
      <c r="D6804">
        <v>6440</v>
      </c>
    </row>
    <row r="6805" spans="1:4" x14ac:dyDescent="0.25">
      <c r="A6805" t="str">
        <f>T("   871120")</f>
        <v xml:space="preserve">   871120</v>
      </c>
      <c r="B6805" t="str">
        <f>T("   Motocycles à moteur à piston alternatif, cylindrée &gt; 50 cm³ mais &lt;= 250 cm³")</f>
        <v xml:space="preserve">   Motocycles à moteur à piston alternatif, cylindrée &gt; 50 cm³ mais &lt;= 250 cm³</v>
      </c>
      <c r="C6805">
        <v>4964275</v>
      </c>
      <c r="D6805">
        <v>7630</v>
      </c>
    </row>
    <row r="6806" spans="1:4" x14ac:dyDescent="0.25">
      <c r="A6806" t="str">
        <f>T("   871130")</f>
        <v xml:space="preserve">   871130</v>
      </c>
      <c r="B6806" t="str">
        <f>T("   Motocycles à moteur à piston alternatif, cylindrée &gt; 250 cm³ mais &lt;= 500 cm³")</f>
        <v xml:space="preserve">   Motocycles à moteur à piston alternatif, cylindrée &gt; 250 cm³ mais &lt;= 500 cm³</v>
      </c>
      <c r="C6806">
        <v>1050000</v>
      </c>
      <c r="D6806">
        <v>1650</v>
      </c>
    </row>
    <row r="6807" spans="1:4" x14ac:dyDescent="0.25">
      <c r="A6807" t="str">
        <f>T("   871140")</f>
        <v xml:space="preserve">   871140</v>
      </c>
      <c r="B6807" t="str">
        <f>T("   Motocycles à moteur à piston alternatif, cylindrée &gt; 500 cm³ mais &lt;= 800 cm³")</f>
        <v xml:space="preserve">   Motocycles à moteur à piston alternatif, cylindrée &gt; 500 cm³ mais &lt;= 800 cm³</v>
      </c>
      <c r="C6807">
        <v>285000</v>
      </c>
      <c r="D6807">
        <v>430</v>
      </c>
    </row>
    <row r="6808" spans="1:4" x14ac:dyDescent="0.25">
      <c r="A6808" t="str">
        <f>T("   871190")</f>
        <v xml:space="preserve">   871190</v>
      </c>
      <c r="B6808" t="str">
        <f>T("   Side-cars")</f>
        <v xml:space="preserve">   Side-cars</v>
      </c>
      <c r="C6808">
        <v>3255639</v>
      </c>
      <c r="D6808">
        <v>7950</v>
      </c>
    </row>
    <row r="6809" spans="1:4" x14ac:dyDescent="0.25">
      <c r="A6809" t="str">
        <f>T("   871200")</f>
        <v xml:space="preserve">   871200</v>
      </c>
      <c r="B6809" t="str">
        <f>T("   BICYCLETTES ET AUTRES CYCLES, -Y.C. LES TRIPORTEURS-, SANS MOTEUR")</f>
        <v xml:space="preserve">   BICYCLETTES ET AUTRES CYCLES, -Y.C. LES TRIPORTEURS-, SANS MOTEUR</v>
      </c>
      <c r="C6809">
        <v>612011</v>
      </c>
      <c r="D6809">
        <v>1658</v>
      </c>
    </row>
    <row r="6810" spans="1:4" x14ac:dyDescent="0.25">
      <c r="A6810" t="str">
        <f>T("   871310")</f>
        <v xml:space="preserve">   871310</v>
      </c>
      <c r="B6810" t="str">
        <f>T("   Fauteuils roulants et autres véhicules pour invalides (sans mécanisme de propulsion)")</f>
        <v xml:space="preserve">   Fauteuils roulants et autres véhicules pour invalides (sans mécanisme de propulsion)</v>
      </c>
      <c r="C6810">
        <v>148680</v>
      </c>
      <c r="D6810">
        <v>250</v>
      </c>
    </row>
    <row r="6811" spans="1:4" x14ac:dyDescent="0.25">
      <c r="A6811" t="str">
        <f>T("   871390")</f>
        <v xml:space="preserve">   871390</v>
      </c>
      <c r="B6811" t="str">
        <f>T("   Fauteuils roulants et autres véhicules pour invalides, avec mécanisme de propulsion (sauf automobiles et bicyclettes munies de dispositifs spéciaux)")</f>
        <v xml:space="preserve">   Fauteuils roulants et autres véhicules pour invalides, avec mécanisme de propulsion (sauf automobiles et bicyclettes munies de dispositifs spéciaux)</v>
      </c>
      <c r="C6811">
        <v>2271911</v>
      </c>
      <c r="D6811">
        <v>403</v>
      </c>
    </row>
    <row r="6812" spans="1:4" x14ac:dyDescent="0.25">
      <c r="A6812" t="str">
        <f>T("   871631")</f>
        <v xml:space="preserve">   871631</v>
      </c>
      <c r="B6812" t="str">
        <f>T("   Remorques-citernes ne circulant pas sur rails")</f>
        <v xml:space="preserve">   Remorques-citernes ne circulant pas sur rails</v>
      </c>
      <c r="C6812">
        <v>159749</v>
      </c>
      <c r="D6812">
        <v>5500</v>
      </c>
    </row>
    <row r="6813" spans="1:4" x14ac:dyDescent="0.25">
      <c r="A6813" t="str">
        <f>T("   871639")</f>
        <v xml:space="preserve">   871639</v>
      </c>
      <c r="B6813"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6813">
        <v>1228613</v>
      </c>
      <c r="D6813">
        <v>7000</v>
      </c>
    </row>
    <row r="6814" spans="1:4" x14ac:dyDescent="0.25">
      <c r="A6814" t="str">
        <f>T("   871640")</f>
        <v xml:space="preserve">   871640</v>
      </c>
      <c r="B681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6814">
        <v>21053517</v>
      </c>
      <c r="D6814">
        <v>97150</v>
      </c>
    </row>
    <row r="6815" spans="1:4" x14ac:dyDescent="0.25">
      <c r="A6815" t="str">
        <f>T("   871680")</f>
        <v xml:space="preserve">   871680</v>
      </c>
      <c r="B6815" t="str">
        <f>T("   Véhicules dirigés à la main et autres véhicules non automobiles, autres que remorques et semi-remorques")</f>
        <v xml:space="preserve">   Véhicules dirigés à la main et autres véhicules non automobiles, autres que remorques et semi-remorques</v>
      </c>
      <c r="C6815">
        <v>76696</v>
      </c>
      <c r="D6815">
        <v>25</v>
      </c>
    </row>
    <row r="6816" spans="1:4" x14ac:dyDescent="0.25">
      <c r="A6816" t="str">
        <f>T("   900140")</f>
        <v xml:space="preserve">   900140</v>
      </c>
      <c r="B6816" t="str">
        <f>T("   Verres de lunetterie en verre")</f>
        <v xml:space="preserve">   Verres de lunetterie en verre</v>
      </c>
      <c r="C6816">
        <v>257155</v>
      </c>
      <c r="D6816">
        <v>720</v>
      </c>
    </row>
    <row r="6817" spans="1:4" x14ac:dyDescent="0.25">
      <c r="A6817" t="str">
        <f>T("   900490")</f>
        <v xml:space="preserve">   900490</v>
      </c>
      <c r="B6817"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6817">
        <v>22958600</v>
      </c>
      <c r="D6817">
        <v>1358</v>
      </c>
    </row>
    <row r="6818" spans="1:4" x14ac:dyDescent="0.25">
      <c r="A6818" t="str">
        <f>T("   900911")</f>
        <v xml:space="preserve">   900911</v>
      </c>
      <c r="B6818"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6818">
        <v>520371</v>
      </c>
      <c r="D6818">
        <v>1100</v>
      </c>
    </row>
    <row r="6819" spans="1:4" x14ac:dyDescent="0.25">
      <c r="A6819" t="str">
        <f>T("   900922")</f>
        <v xml:space="preserve">   900922</v>
      </c>
      <c r="B6819" t="str">
        <f>T("   APPAREILS DE PHOTOCOPIE PAR CONTACT")</f>
        <v xml:space="preserve">   APPAREILS DE PHOTOCOPIE PAR CONTACT</v>
      </c>
      <c r="C6819">
        <v>798304</v>
      </c>
      <c r="D6819">
        <v>470</v>
      </c>
    </row>
    <row r="6820" spans="1:4" x14ac:dyDescent="0.25">
      <c r="A6820" t="str">
        <f>T("   901580")</f>
        <v xml:space="preserve">   901580</v>
      </c>
      <c r="B6820" t="s">
        <v>493</v>
      </c>
      <c r="C6820">
        <v>363921</v>
      </c>
      <c r="D6820">
        <v>149</v>
      </c>
    </row>
    <row r="6821" spans="1:4" x14ac:dyDescent="0.25">
      <c r="A6821" t="str">
        <f>T("   901710")</f>
        <v xml:space="preserve">   901710</v>
      </c>
      <c r="B6821" t="str">
        <f>T("   Tables et machines à dessiner, même automatiques (à l'excl. des unités de machines automatiques de traitement de l'information)")</f>
        <v xml:space="preserve">   Tables et machines à dessiner, même automatiques (à l'excl. des unités de machines automatiques de traitement de l'information)</v>
      </c>
      <c r="C6821">
        <v>1657014</v>
      </c>
      <c r="D6821">
        <v>494</v>
      </c>
    </row>
    <row r="6822" spans="1:4" x14ac:dyDescent="0.25">
      <c r="A6822" t="str">
        <f>T("   901819")</f>
        <v xml:space="preserve">   901819</v>
      </c>
      <c r="B6822" t="s">
        <v>494</v>
      </c>
      <c r="C6822">
        <v>3209789</v>
      </c>
      <c r="D6822">
        <v>250</v>
      </c>
    </row>
    <row r="6823" spans="1:4" x14ac:dyDescent="0.25">
      <c r="A6823" t="str">
        <f>T("   901890")</f>
        <v xml:space="preserve">   901890</v>
      </c>
      <c r="B6823" t="str">
        <f>T("   Instruments et appareils pour la médecine, la chirurgie ou l'art vétérinaire, n.d.a.")</f>
        <v xml:space="preserve">   Instruments et appareils pour la médecine, la chirurgie ou l'art vétérinaire, n.d.a.</v>
      </c>
      <c r="C6823">
        <v>17523275</v>
      </c>
      <c r="D6823">
        <v>10210</v>
      </c>
    </row>
    <row r="6824" spans="1:4" x14ac:dyDescent="0.25">
      <c r="A6824" t="str">
        <f>T("   902000")</f>
        <v xml:space="preserve">   902000</v>
      </c>
      <c r="B6824" t="str">
        <f>T("   APPAREILS RESPIRATOIRES ET MASQUES À GAZ (À L'EXCL. DES MASQUES DE PROTECTION DÉPOURVUS DE MÉCANISME ET D'ÉLÉMENT FILTRANT AMOVIBLE AINSI QUE DES APPAREILS DE RESPIRATOIRES DE RÉANIMATION ET AUTRES APPAREILS DE THERAPIE RESPIRATOIRE)")</f>
        <v xml:space="preserve">   APPAREILS RESPIRATOIRES ET MASQUES À GAZ (À L'EXCL. DES MASQUES DE PROTECTION DÉPOURVUS DE MÉCANISME ET D'ÉLÉMENT FILTRANT AMOVIBLE AINSI QUE DES APPAREILS DE RESPIRATOIRES DE RÉANIMATION ET AUTRES APPAREILS DE THERAPIE RESPIRATOIRE)</v>
      </c>
      <c r="C6824">
        <v>402103</v>
      </c>
      <c r="D6824">
        <v>100</v>
      </c>
    </row>
    <row r="6825" spans="1:4" x14ac:dyDescent="0.25">
      <c r="A6825" t="str">
        <f>T("   902110")</f>
        <v xml:space="preserve">   902110</v>
      </c>
      <c r="B6825" t="str">
        <f>T("   Appareils d'orthopédie ou pour fractures")</f>
        <v xml:space="preserve">   Appareils d'orthopédie ou pour fractures</v>
      </c>
      <c r="C6825">
        <v>28094703</v>
      </c>
      <c r="D6825">
        <v>855</v>
      </c>
    </row>
    <row r="6826" spans="1:4" x14ac:dyDescent="0.25">
      <c r="A6826" t="str">
        <f>T("   902214")</f>
        <v xml:space="preserve">   902214</v>
      </c>
      <c r="B6826"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6826">
        <v>26282133</v>
      </c>
      <c r="D6826">
        <v>13924</v>
      </c>
    </row>
    <row r="6827" spans="1:4" x14ac:dyDescent="0.25">
      <c r="A6827" t="str">
        <f>T("   902519")</f>
        <v xml:space="preserve">   902519</v>
      </c>
      <c r="B6827"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6827">
        <v>861229</v>
      </c>
      <c r="D6827">
        <v>123</v>
      </c>
    </row>
    <row r="6828" spans="1:4" x14ac:dyDescent="0.25">
      <c r="A6828" t="str">
        <f>T("   902820")</f>
        <v xml:space="preserve">   902820</v>
      </c>
      <c r="B6828" t="str">
        <f>T("   Compteurs de liquides, y.c. les compteurs pour leur étalonnage")</f>
        <v xml:space="preserve">   Compteurs de liquides, y.c. les compteurs pour leur étalonnage</v>
      </c>
      <c r="C6828">
        <v>133697111</v>
      </c>
      <c r="D6828">
        <v>37100</v>
      </c>
    </row>
    <row r="6829" spans="1:4" x14ac:dyDescent="0.25">
      <c r="A6829" t="str">
        <f>T("   940150")</f>
        <v xml:space="preserve">   940150</v>
      </c>
      <c r="B6829" t="str">
        <f>T("   Sièges en rotin, en osier, en bambou ou en matières simil.")</f>
        <v xml:space="preserve">   Sièges en rotin, en osier, en bambou ou en matières simil.</v>
      </c>
      <c r="C6829">
        <v>327980</v>
      </c>
      <c r="D6829">
        <v>2000</v>
      </c>
    </row>
    <row r="6830" spans="1:4" x14ac:dyDescent="0.25">
      <c r="A6830" t="str">
        <f>T("   940161")</f>
        <v xml:space="preserve">   940161</v>
      </c>
      <c r="B6830" t="str">
        <f>T("   Sièges, avec bâti en bois, rembourrés (non transformables en lits)")</f>
        <v xml:space="preserve">   Sièges, avec bâti en bois, rembourrés (non transformables en lits)</v>
      </c>
      <c r="C6830">
        <v>10969583</v>
      </c>
      <c r="D6830">
        <v>3997</v>
      </c>
    </row>
    <row r="6831" spans="1:4" x14ac:dyDescent="0.25">
      <c r="A6831" t="str">
        <f>T("   940169")</f>
        <v xml:space="preserve">   940169</v>
      </c>
      <c r="B6831" t="str">
        <f>T("   Sièges, avec bâti en bois, non rembourrés")</f>
        <v xml:space="preserve">   Sièges, avec bâti en bois, non rembourrés</v>
      </c>
      <c r="C6831">
        <v>11037276</v>
      </c>
      <c r="D6831">
        <v>2141</v>
      </c>
    </row>
    <row r="6832" spans="1:4" x14ac:dyDescent="0.25">
      <c r="A6832" t="str">
        <f>T("   940171")</f>
        <v xml:space="preserve">   940171</v>
      </c>
      <c r="B6832"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6832">
        <v>15065250</v>
      </c>
      <c r="D6832">
        <v>9061</v>
      </c>
    </row>
    <row r="6833" spans="1:4" x14ac:dyDescent="0.25">
      <c r="A6833" t="str">
        <f>T("   940180")</f>
        <v xml:space="preserve">   940180</v>
      </c>
      <c r="B6833" t="str">
        <f>T("   Sièges, n.d.a.")</f>
        <v xml:space="preserve">   Sièges, n.d.a.</v>
      </c>
      <c r="C6833">
        <v>102816937</v>
      </c>
      <c r="D6833">
        <v>70993</v>
      </c>
    </row>
    <row r="6834" spans="1:4" x14ac:dyDescent="0.25">
      <c r="A6834" t="str">
        <f>T("   940190")</f>
        <v xml:space="preserve">   940190</v>
      </c>
      <c r="B6834" t="str">
        <f>T("   Parties de sièges, n.d.a.")</f>
        <v xml:space="preserve">   Parties de sièges, n.d.a.</v>
      </c>
      <c r="C6834">
        <v>1483958</v>
      </c>
      <c r="D6834">
        <v>1118</v>
      </c>
    </row>
    <row r="6835" spans="1:4" x14ac:dyDescent="0.25">
      <c r="A6835" t="str">
        <f>T("   940210")</f>
        <v xml:space="preserve">   940210</v>
      </c>
      <c r="B6835"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6835">
        <v>3430982</v>
      </c>
      <c r="D6835">
        <v>317</v>
      </c>
    </row>
    <row r="6836" spans="1:4" x14ac:dyDescent="0.25">
      <c r="A6836" t="str">
        <f>T("   940290")</f>
        <v xml:space="preserve">   940290</v>
      </c>
      <c r="B6836"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6836">
        <v>2228421</v>
      </c>
      <c r="D6836">
        <v>5207</v>
      </c>
    </row>
    <row r="6837" spans="1:4" x14ac:dyDescent="0.25">
      <c r="A6837" t="str">
        <f>T("   940310")</f>
        <v xml:space="preserve">   940310</v>
      </c>
      <c r="B6837" t="str">
        <f>T("   Meubles de bureau en métal (sauf sièges)")</f>
        <v xml:space="preserve">   Meubles de bureau en métal (sauf sièges)</v>
      </c>
      <c r="C6837">
        <v>18024822</v>
      </c>
      <c r="D6837">
        <v>11873</v>
      </c>
    </row>
    <row r="6838" spans="1:4" x14ac:dyDescent="0.25">
      <c r="A6838" t="str">
        <f>T("   940320")</f>
        <v xml:space="preserve">   940320</v>
      </c>
      <c r="B6838"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6838">
        <v>3907476</v>
      </c>
      <c r="D6838">
        <v>4806</v>
      </c>
    </row>
    <row r="6839" spans="1:4" x14ac:dyDescent="0.25">
      <c r="A6839" t="str">
        <f>T("   940330")</f>
        <v xml:space="preserve">   940330</v>
      </c>
      <c r="B6839" t="str">
        <f>T("   Meubles de bureau en bois (sauf sièges)")</f>
        <v xml:space="preserve">   Meubles de bureau en bois (sauf sièges)</v>
      </c>
      <c r="C6839">
        <v>6284279</v>
      </c>
      <c r="D6839">
        <v>26115</v>
      </c>
    </row>
    <row r="6840" spans="1:4" x14ac:dyDescent="0.25">
      <c r="A6840" t="str">
        <f>T("   940350")</f>
        <v xml:space="preserve">   940350</v>
      </c>
      <c r="B6840" t="str">
        <f>T("   Meubles pour chambres à coucher, en bois (sauf sièges)")</f>
        <v xml:space="preserve">   Meubles pour chambres à coucher, en bois (sauf sièges)</v>
      </c>
      <c r="C6840">
        <v>3450392</v>
      </c>
      <c r="D6840">
        <v>3365</v>
      </c>
    </row>
    <row r="6841" spans="1:4" x14ac:dyDescent="0.25">
      <c r="A6841" t="str">
        <f>T("   940360")</f>
        <v xml:space="preserve">   940360</v>
      </c>
      <c r="B6841" t="str">
        <f>T("   Meubles en bois (autres que pour bureaux, cuisines ou chambres à coucher et autres que sièges)")</f>
        <v xml:space="preserve">   Meubles en bois (autres que pour bureaux, cuisines ou chambres à coucher et autres que sièges)</v>
      </c>
      <c r="C6841">
        <v>34346534</v>
      </c>
      <c r="D6841">
        <v>97245</v>
      </c>
    </row>
    <row r="6842" spans="1:4" x14ac:dyDescent="0.25">
      <c r="A6842" t="str">
        <f>T("   940370")</f>
        <v xml:space="preserve">   940370</v>
      </c>
      <c r="B6842"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6842">
        <v>11638095</v>
      </c>
      <c r="D6842">
        <v>20723</v>
      </c>
    </row>
    <row r="6843" spans="1:4" x14ac:dyDescent="0.25">
      <c r="A6843" t="str">
        <f>T("   940380")</f>
        <v xml:space="preserve">   940380</v>
      </c>
      <c r="B6843" t="str">
        <f>T("   Meubles en rotin, osier, bambou ou autres matières (sauf métal, bois et matières plastiques)")</f>
        <v xml:space="preserve">   Meubles en rotin, osier, bambou ou autres matières (sauf métal, bois et matières plastiques)</v>
      </c>
      <c r="C6843">
        <v>35945317</v>
      </c>
      <c r="D6843">
        <v>85557</v>
      </c>
    </row>
    <row r="6844" spans="1:4" x14ac:dyDescent="0.25">
      <c r="A6844" t="str">
        <f>T("   940390")</f>
        <v xml:space="preserve">   940390</v>
      </c>
      <c r="B6844"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6844">
        <v>3807957</v>
      </c>
      <c r="D6844">
        <v>14969</v>
      </c>
    </row>
    <row r="6845" spans="1:4" x14ac:dyDescent="0.25">
      <c r="A6845" t="str">
        <f>T("   940410")</f>
        <v xml:space="preserve">   940410</v>
      </c>
      <c r="B6845" t="str">
        <f>T("   Sommiers (sauf ressorts pour sièges)")</f>
        <v xml:space="preserve">   Sommiers (sauf ressorts pour sièges)</v>
      </c>
      <c r="C6845">
        <v>380259</v>
      </c>
      <c r="D6845">
        <v>203</v>
      </c>
    </row>
    <row r="6846" spans="1:4" x14ac:dyDescent="0.25">
      <c r="A6846" t="str">
        <f>T("   940429")</f>
        <v xml:space="preserve">   940429</v>
      </c>
      <c r="B6846"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6846">
        <v>12462007</v>
      </c>
      <c r="D6846">
        <v>18077</v>
      </c>
    </row>
    <row r="6847" spans="1:4" x14ac:dyDescent="0.25">
      <c r="A6847" t="str">
        <f>T("   940490")</f>
        <v xml:space="preserve">   940490</v>
      </c>
      <c r="B6847" t="s">
        <v>505</v>
      </c>
      <c r="C6847">
        <v>9878561</v>
      </c>
      <c r="D6847">
        <v>212044.5</v>
      </c>
    </row>
    <row r="6848" spans="1:4" x14ac:dyDescent="0.25">
      <c r="A6848" t="str">
        <f>T("   940520")</f>
        <v xml:space="preserve">   940520</v>
      </c>
      <c r="B6848" t="str">
        <f>T("   Lampes de chevet, lampes de bureau et lampadaires d'intérieur, électriques")</f>
        <v xml:space="preserve">   Lampes de chevet, lampes de bureau et lampadaires d'intérieur, électriques</v>
      </c>
      <c r="C6848">
        <v>7448602</v>
      </c>
      <c r="D6848">
        <v>5773</v>
      </c>
    </row>
    <row r="6849" spans="1:4" x14ac:dyDescent="0.25">
      <c r="A6849" t="str">
        <f>T("   940540")</f>
        <v xml:space="preserve">   940540</v>
      </c>
      <c r="B6849" t="str">
        <f>T("   Appareils d'éclairage électrique, n.d.a.")</f>
        <v xml:space="preserve">   Appareils d'éclairage électrique, n.d.a.</v>
      </c>
      <c r="C6849">
        <v>610699</v>
      </c>
      <c r="D6849">
        <v>730</v>
      </c>
    </row>
    <row r="6850" spans="1:4" x14ac:dyDescent="0.25">
      <c r="A6850" t="str">
        <f>T("   940599")</f>
        <v xml:space="preserve">   940599</v>
      </c>
      <c r="B6850" t="str">
        <f>T("   Parties d'appareils d'éclairage, de lampes-réclames, d'enseignes lumineuses, de plaques indicatrices lumineuses, et simil., n.d.a.")</f>
        <v xml:space="preserve">   Parties d'appareils d'éclairage, de lampes-réclames, d'enseignes lumineuses, de plaques indicatrices lumineuses, et simil., n.d.a.</v>
      </c>
      <c r="C6850">
        <v>96452</v>
      </c>
      <c r="D6850">
        <v>166</v>
      </c>
    </row>
    <row r="6851" spans="1:4" x14ac:dyDescent="0.25">
      <c r="A6851" t="str">
        <f>T("   950299")</f>
        <v xml:space="preserve">   950299</v>
      </c>
      <c r="B6851" t="str">
        <f>T("   Parties et accessoires pour poupées représentant uniquement l'être humain, n.d.a.")</f>
        <v xml:space="preserve">   Parties et accessoires pour poupées représentant uniquement l'être humain, n.d.a.</v>
      </c>
      <c r="C6851">
        <v>4802283</v>
      </c>
      <c r="D6851">
        <v>2646</v>
      </c>
    </row>
    <row r="6852" spans="1:4" x14ac:dyDescent="0.25">
      <c r="A6852" t="str">
        <f>T("   950330")</f>
        <v xml:space="preserve">   950330</v>
      </c>
      <c r="B6852" t="str">
        <f>T("   Assortiments et jouets de construction (sauf modèles réduits à assembler)")</f>
        <v xml:space="preserve">   Assortiments et jouets de construction (sauf modèles réduits à assembler)</v>
      </c>
      <c r="C6852">
        <v>459172</v>
      </c>
      <c r="D6852">
        <v>350</v>
      </c>
    </row>
    <row r="6853" spans="1:4" x14ac:dyDescent="0.25">
      <c r="A6853" t="str">
        <f>T("   950390")</f>
        <v xml:space="preserve">   950390</v>
      </c>
      <c r="B6853" t="str">
        <f>T("   Jouets, n.d.a.")</f>
        <v xml:space="preserve">   Jouets, n.d.a.</v>
      </c>
      <c r="C6853">
        <v>16745353</v>
      </c>
      <c r="D6853">
        <v>9866</v>
      </c>
    </row>
    <row r="6854" spans="1:4" x14ac:dyDescent="0.25">
      <c r="A6854" t="str">
        <f>T("   950699")</f>
        <v xml:space="preserve">   950699</v>
      </c>
      <c r="B6854" t="str">
        <f>T("   Articles et matériel pour le sport et les jeux de plein air, n.d.a.; piscines et pataugeoires")</f>
        <v xml:space="preserve">   Articles et matériel pour le sport et les jeux de plein air, n.d.a.; piscines et pataugeoires</v>
      </c>
      <c r="C6854">
        <v>1416000</v>
      </c>
      <c r="D6854">
        <v>1371</v>
      </c>
    </row>
    <row r="6855" spans="1:4" x14ac:dyDescent="0.25">
      <c r="A6855" t="str">
        <f>T("   960310")</f>
        <v xml:space="preserve">   960310</v>
      </c>
      <c r="B6855" t="str">
        <f>T("   Balais et balayettes consistant en matières végétales en bottes liées")</f>
        <v xml:space="preserve">   Balais et balayettes consistant en matières végétales en bottes liées</v>
      </c>
      <c r="C6855">
        <v>9233890</v>
      </c>
      <c r="D6855">
        <v>16779</v>
      </c>
    </row>
    <row r="6856" spans="1:4" x14ac:dyDescent="0.25">
      <c r="A6856" t="str">
        <f>T("   960390")</f>
        <v xml:space="preserve">   960390</v>
      </c>
      <c r="B6856"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6856">
        <v>12256862</v>
      </c>
      <c r="D6856">
        <v>6916</v>
      </c>
    </row>
    <row r="6857" spans="1:4" x14ac:dyDescent="0.25">
      <c r="A6857" t="str">
        <f>T("   961000")</f>
        <v xml:space="preserve">   961000</v>
      </c>
      <c r="B6857" t="str">
        <f>T("   Ardoises et tableaux pour l'écriture ou le dessin, même encadrés")</f>
        <v xml:space="preserve">   Ardoises et tableaux pour l'écriture ou le dessin, même encadrés</v>
      </c>
      <c r="C6857">
        <v>454469</v>
      </c>
      <c r="D6857">
        <v>400</v>
      </c>
    </row>
    <row r="6858" spans="1:4" x14ac:dyDescent="0.25">
      <c r="A6858" t="str">
        <f>T("   961590")</f>
        <v xml:space="preserve">   961590</v>
      </c>
      <c r="B6858" t="str">
        <f>T("   Epingles à cheveux; pince-guiches, ondulateurs, bigoudis et articles pour la coiffure (autres que ceux du n° 8516); parties")</f>
        <v xml:space="preserve">   Epingles à cheveux; pince-guiches, ondulateurs, bigoudis et articles pour la coiffure (autres que ceux du n° 8516); parties</v>
      </c>
      <c r="C6858">
        <v>194820</v>
      </c>
      <c r="D6858">
        <v>86</v>
      </c>
    </row>
    <row r="6859" spans="1:4" x14ac:dyDescent="0.25">
      <c r="A6859" t="str">
        <f>T("   970300")</f>
        <v xml:space="preserve">   970300</v>
      </c>
      <c r="B6859" t="str">
        <f>T("   Productions originales de l'art statuaire ou de la sculpture, en toutes matières")</f>
        <v xml:space="preserve">   Productions originales de l'art statuaire ou de la sculpture, en toutes matières</v>
      </c>
      <c r="C6859">
        <v>7374016</v>
      </c>
      <c r="D6859">
        <v>719</v>
      </c>
    </row>
    <row r="6860" spans="1:4" x14ac:dyDescent="0.25">
      <c r="A6860" t="str">
        <f>T("JM")</f>
        <v>JM</v>
      </c>
      <c r="B6860" t="str">
        <f>T("Jamaïque")</f>
        <v>Jamaïque</v>
      </c>
    </row>
    <row r="6861" spans="1:4" x14ac:dyDescent="0.25">
      <c r="A6861" t="str">
        <f>T("   ZZ_Total_Produit_SH6")</f>
        <v xml:space="preserve">   ZZ_Total_Produit_SH6</v>
      </c>
      <c r="B6861" t="str">
        <f>T("   ZZ_Total_Produit_SH6")</f>
        <v xml:space="preserve">   ZZ_Total_Produit_SH6</v>
      </c>
      <c r="C6861">
        <v>5466987</v>
      </c>
      <c r="D6861">
        <v>277</v>
      </c>
    </row>
    <row r="6862" spans="1:4" x14ac:dyDescent="0.25">
      <c r="A6862" t="str">
        <f>T("   870899")</f>
        <v xml:space="preserve">   870899</v>
      </c>
      <c r="B686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862">
        <v>5466987</v>
      </c>
      <c r="D6862">
        <v>277</v>
      </c>
    </row>
    <row r="6863" spans="1:4" x14ac:dyDescent="0.25">
      <c r="A6863" t="str">
        <f>T("JO")</f>
        <v>JO</v>
      </c>
      <c r="B6863" t="str">
        <f>T("Jordanie")</f>
        <v>Jordanie</v>
      </c>
    </row>
    <row r="6864" spans="1:4" x14ac:dyDescent="0.25">
      <c r="A6864" t="str">
        <f>T("   ZZ_Total_Produit_SH6")</f>
        <v xml:space="preserve">   ZZ_Total_Produit_SH6</v>
      </c>
      <c r="B6864" t="str">
        <f>T("   ZZ_Total_Produit_SH6")</f>
        <v xml:space="preserve">   ZZ_Total_Produit_SH6</v>
      </c>
      <c r="C6864">
        <v>17021517</v>
      </c>
      <c r="D6864">
        <v>26905</v>
      </c>
    </row>
    <row r="6865" spans="1:4" x14ac:dyDescent="0.25">
      <c r="A6865" t="str">
        <f>T("   382200")</f>
        <v xml:space="preserve">   382200</v>
      </c>
      <c r="B6865" t="s">
        <v>122</v>
      </c>
      <c r="C6865">
        <v>1552902</v>
      </c>
      <c r="D6865">
        <v>56</v>
      </c>
    </row>
    <row r="6866" spans="1:4" x14ac:dyDescent="0.25">
      <c r="A6866" t="str">
        <f>T("   842330")</f>
        <v xml:space="preserve">   842330</v>
      </c>
      <c r="B6866" t="str">
        <f>T("   Bascules à pesées constantes et balances et bascules ensacheuses ou doseuses (à l'excl. des balances à pesage continu sur transporteurs)")</f>
        <v xml:space="preserve">   Bascules à pesées constantes et balances et bascules ensacheuses ou doseuses (à l'excl. des balances à pesage continu sur transporteurs)</v>
      </c>
      <c r="C6866">
        <v>200000</v>
      </c>
      <c r="D6866">
        <v>60</v>
      </c>
    </row>
    <row r="6867" spans="1:4" x14ac:dyDescent="0.25">
      <c r="A6867" t="str">
        <f>T("   870899")</f>
        <v xml:space="preserve">   870899</v>
      </c>
      <c r="B6867"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867">
        <v>6809166</v>
      </c>
      <c r="D6867">
        <v>389</v>
      </c>
    </row>
    <row r="6868" spans="1:4" x14ac:dyDescent="0.25">
      <c r="A6868" t="str">
        <f>T("   960990")</f>
        <v xml:space="preserve">   960990</v>
      </c>
      <c r="B6868" t="str">
        <f>T("   Crayons (sauf crayons à gaine), pastels, fusains, craies à écrire ou à dessiner et craies de tailleurs")</f>
        <v xml:space="preserve">   Crayons (sauf crayons à gaine), pastels, fusains, craies à écrire ou à dessiner et craies de tailleurs</v>
      </c>
      <c r="C6868">
        <v>8459449</v>
      </c>
      <c r="D6868">
        <v>26400</v>
      </c>
    </row>
    <row r="6869" spans="1:4" x14ac:dyDescent="0.25">
      <c r="A6869" t="str">
        <f>T("JP")</f>
        <v>JP</v>
      </c>
      <c r="B6869" t="str">
        <f>T("Japon")</f>
        <v>Japon</v>
      </c>
    </row>
    <row r="6870" spans="1:4" x14ac:dyDescent="0.25">
      <c r="A6870" t="str">
        <f>T("   ZZ_Total_Produit_SH6")</f>
        <v xml:space="preserve">   ZZ_Total_Produit_SH6</v>
      </c>
      <c r="B6870" t="str">
        <f>T("   ZZ_Total_Produit_SH6")</f>
        <v xml:space="preserve">   ZZ_Total_Produit_SH6</v>
      </c>
      <c r="C6870">
        <v>14956129353</v>
      </c>
      <c r="D6870">
        <v>209976522.5</v>
      </c>
    </row>
    <row r="6871" spans="1:4" x14ac:dyDescent="0.25">
      <c r="A6871" t="str">
        <f>T("   100630")</f>
        <v xml:space="preserve">   100630</v>
      </c>
      <c r="B6871" t="str">
        <f>T("   Riz semi-blanchi ou blanchi, même poli ou glacé")</f>
        <v xml:space="preserve">   Riz semi-blanchi ou blanchi, même poli ou glacé</v>
      </c>
      <c r="C6871">
        <v>2375348850</v>
      </c>
      <c r="D6871">
        <v>8321968</v>
      </c>
    </row>
    <row r="6872" spans="1:4" x14ac:dyDescent="0.25">
      <c r="A6872" t="str">
        <f>T("   252310")</f>
        <v xml:space="preserve">   252310</v>
      </c>
      <c r="B6872" t="str">
        <f>T("   Ciments non pulvérisés dits 'clinkers'")</f>
        <v xml:space="preserve">   Ciments non pulvérisés dits 'clinkers'</v>
      </c>
      <c r="C6872">
        <v>6580620000</v>
      </c>
      <c r="D6872">
        <v>199432000</v>
      </c>
    </row>
    <row r="6873" spans="1:4" x14ac:dyDescent="0.25">
      <c r="A6873" t="str">
        <f>T("   370790")</f>
        <v xml:space="preserve">   370790</v>
      </c>
      <c r="B6873" t="s">
        <v>115</v>
      </c>
      <c r="C6873">
        <v>2622045</v>
      </c>
      <c r="D6873">
        <v>3593</v>
      </c>
    </row>
    <row r="6874" spans="1:4" x14ac:dyDescent="0.25">
      <c r="A6874" t="str">
        <f>T("   391739")</f>
        <v xml:space="preserve">   391739</v>
      </c>
      <c r="B6874"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6874">
        <v>7898094</v>
      </c>
      <c r="D6874">
        <v>10161</v>
      </c>
    </row>
    <row r="6875" spans="1:4" x14ac:dyDescent="0.25">
      <c r="A6875" t="str">
        <f>T("   401110")</f>
        <v xml:space="preserve">   401110</v>
      </c>
      <c r="B6875"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6875">
        <v>80922844</v>
      </c>
      <c r="D6875">
        <v>27010</v>
      </c>
    </row>
    <row r="6876" spans="1:4" x14ac:dyDescent="0.25">
      <c r="A6876" t="str">
        <f>T("   401120")</f>
        <v xml:space="preserve">   401120</v>
      </c>
      <c r="B6876"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6876">
        <v>2643366</v>
      </c>
      <c r="D6876">
        <v>1621</v>
      </c>
    </row>
    <row r="6877" spans="1:4" x14ac:dyDescent="0.25">
      <c r="A6877" t="str">
        <f>T("   420222")</f>
        <v xml:space="preserve">   420222</v>
      </c>
      <c r="B6877"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6877">
        <v>12463</v>
      </c>
      <c r="D6877">
        <v>20</v>
      </c>
    </row>
    <row r="6878" spans="1:4" x14ac:dyDescent="0.25">
      <c r="A6878" t="str">
        <f>T("   491110")</f>
        <v xml:space="preserve">   491110</v>
      </c>
      <c r="B6878" t="str">
        <f>T("   Imprimés publicitaires, catalogues commerciaux et simil.")</f>
        <v xml:space="preserve">   Imprimés publicitaires, catalogues commerciaux et simil.</v>
      </c>
      <c r="C6878">
        <v>551879</v>
      </c>
      <c r="D6878">
        <v>44</v>
      </c>
    </row>
    <row r="6879" spans="1:4" x14ac:dyDescent="0.25">
      <c r="A6879" t="str">
        <f>T("   630491")</f>
        <v xml:space="preserve">   630491</v>
      </c>
      <c r="B6879" t="s">
        <v>269</v>
      </c>
      <c r="C6879">
        <v>2319698634</v>
      </c>
      <c r="D6879">
        <v>734532</v>
      </c>
    </row>
    <row r="6880" spans="1:4" x14ac:dyDescent="0.25">
      <c r="A6880" t="str">
        <f>T("   630629")</f>
        <v xml:space="preserve">   630629</v>
      </c>
      <c r="B6880" t="str">
        <f>T("   Tentes de matières textiles (autres que de coton ou fibres synthétiques et sauf paravents)")</f>
        <v xml:space="preserve">   Tentes de matières textiles (autres que de coton ou fibres synthétiques et sauf paravents)</v>
      </c>
      <c r="C6880">
        <v>177001416</v>
      </c>
      <c r="D6880">
        <v>58800</v>
      </c>
    </row>
    <row r="6881" spans="1:4" x14ac:dyDescent="0.25">
      <c r="A6881" t="str">
        <f>T("   630900")</f>
        <v xml:space="preserve">   630900</v>
      </c>
      <c r="B6881" t="s">
        <v>273</v>
      </c>
      <c r="C6881">
        <v>314929101</v>
      </c>
      <c r="D6881">
        <v>623189</v>
      </c>
    </row>
    <row r="6882" spans="1:4" x14ac:dyDescent="0.25">
      <c r="A6882" t="str">
        <f>T("   660199")</f>
        <v xml:space="preserve">   660199</v>
      </c>
      <c r="B6882"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6882">
        <v>106895</v>
      </c>
      <c r="D6882">
        <v>150</v>
      </c>
    </row>
    <row r="6883" spans="1:4" x14ac:dyDescent="0.25">
      <c r="A6883" t="str">
        <f>T("   731029")</f>
        <v xml:space="preserve">   731029</v>
      </c>
      <c r="B6883"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6883">
        <v>42480</v>
      </c>
      <c r="D6883">
        <v>55</v>
      </c>
    </row>
    <row r="6884" spans="1:4" x14ac:dyDescent="0.25">
      <c r="A6884" t="str">
        <f>T("   731290")</f>
        <v xml:space="preserve">   731290</v>
      </c>
      <c r="B6884" t="str">
        <f>T("   Tresses, élingues et simil., en fer ou en acier (sauf produits isolés pour l'électricité)")</f>
        <v xml:space="preserve">   Tresses, élingues et simil., en fer ou en acier (sauf produits isolés pour l'électricité)</v>
      </c>
      <c r="C6884">
        <v>1968</v>
      </c>
      <c r="D6884">
        <v>1</v>
      </c>
    </row>
    <row r="6885" spans="1:4" x14ac:dyDescent="0.25">
      <c r="A6885" t="str">
        <f>T("   731590")</f>
        <v xml:space="preserve">   731590</v>
      </c>
      <c r="B6885" t="str">
        <f>T("   Parties de chaînes et chaînettes antidérapantes, à maillons à étais, et autres chaînes et chaînettes du n° 7315 (sauf de chaînes à maillons articulés)")</f>
        <v xml:space="preserve">   Parties de chaînes et chaînettes antidérapantes, à maillons à étais, et autres chaînes et chaînettes du n° 7315 (sauf de chaînes à maillons articulés)</v>
      </c>
      <c r="C6885">
        <v>80027</v>
      </c>
      <c r="D6885">
        <v>3</v>
      </c>
    </row>
    <row r="6886" spans="1:4" x14ac:dyDescent="0.25">
      <c r="A6886" t="str">
        <f>T("   820412")</f>
        <v xml:space="preserve">   820412</v>
      </c>
      <c r="B6886" t="str">
        <f>T("   Clés de serrage à main, y.c. -les clés dynamométriques-, en métaux communs, à ouverture variable")</f>
        <v xml:space="preserve">   Clés de serrage à main, y.c. -les clés dynamométriques-, en métaux communs, à ouverture variable</v>
      </c>
      <c r="C6886">
        <v>99382</v>
      </c>
      <c r="D6886">
        <v>4</v>
      </c>
    </row>
    <row r="6887" spans="1:4" x14ac:dyDescent="0.25">
      <c r="A6887" t="str">
        <f>T("   840733")</f>
        <v xml:space="preserve">   840733</v>
      </c>
      <c r="B6887" t="s">
        <v>389</v>
      </c>
      <c r="C6887">
        <v>575000</v>
      </c>
      <c r="D6887">
        <v>2000</v>
      </c>
    </row>
    <row r="6888" spans="1:4" x14ac:dyDescent="0.25">
      <c r="A6888" t="str">
        <f>T("   840999")</f>
        <v xml:space="preserve">   840999</v>
      </c>
      <c r="B6888"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6888">
        <v>1000318</v>
      </c>
      <c r="D6888">
        <v>296</v>
      </c>
    </row>
    <row r="6889" spans="1:4" x14ac:dyDescent="0.25">
      <c r="A6889" t="str">
        <f>T("   842123")</f>
        <v xml:space="preserve">   842123</v>
      </c>
      <c r="B6889"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6889">
        <v>14431</v>
      </c>
      <c r="D6889">
        <v>1</v>
      </c>
    </row>
    <row r="6890" spans="1:4" x14ac:dyDescent="0.25">
      <c r="A6890" t="str">
        <f>T("   842959")</f>
        <v xml:space="preserve">   842959</v>
      </c>
      <c r="B6890"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6890">
        <v>407808000</v>
      </c>
      <c r="D6890">
        <v>111050</v>
      </c>
    </row>
    <row r="6891" spans="1:4" x14ac:dyDescent="0.25">
      <c r="A6891" t="str">
        <f>T("   843049")</f>
        <v xml:space="preserve">   843049</v>
      </c>
      <c r="B6891"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6891">
        <v>5328585</v>
      </c>
      <c r="D6891">
        <v>6855</v>
      </c>
    </row>
    <row r="6892" spans="1:4" x14ac:dyDescent="0.25">
      <c r="A6892" t="str">
        <f>T("   843149")</f>
        <v xml:space="preserve">   843149</v>
      </c>
      <c r="B6892" t="str">
        <f>T("   Parties de machines et appareils du n° 8426, 8429 ou 8430, n.d.a.")</f>
        <v xml:space="preserve">   Parties de machines et appareils du n° 8426, 8429 ou 8430, n.d.a.</v>
      </c>
      <c r="C6892">
        <v>39971587</v>
      </c>
      <c r="D6892">
        <v>11116</v>
      </c>
    </row>
    <row r="6893" spans="1:4" x14ac:dyDescent="0.25">
      <c r="A6893" t="str">
        <f>T("   844790")</f>
        <v xml:space="preserve">   844790</v>
      </c>
      <c r="B6893" t="str">
        <f>T("   Machines et métiers à guipure, à tulle, à dentelle, à broderie, à passementerie, à tresses, à filet ou à touffeter (sauf couso-brodeurs)")</f>
        <v xml:space="preserve">   Machines et métiers à guipure, à tulle, à dentelle, à broderie, à passementerie, à tresses, à filet ou à touffeter (sauf couso-brodeurs)</v>
      </c>
      <c r="C6893">
        <v>40744</v>
      </c>
      <c r="D6893">
        <v>50</v>
      </c>
    </row>
    <row r="6894" spans="1:4" x14ac:dyDescent="0.25">
      <c r="A6894" t="str">
        <f>T("   845019")</f>
        <v xml:space="preserve">   845019</v>
      </c>
      <c r="B6894"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6894">
        <v>2162044</v>
      </c>
      <c r="D6894">
        <v>50</v>
      </c>
    </row>
    <row r="6895" spans="1:4" x14ac:dyDescent="0.25">
      <c r="A6895" t="str">
        <f>T("   850212")</f>
        <v xml:space="preserve">   850212</v>
      </c>
      <c r="B6895"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6895">
        <v>2124000</v>
      </c>
      <c r="D6895">
        <v>2732</v>
      </c>
    </row>
    <row r="6896" spans="1:4" x14ac:dyDescent="0.25">
      <c r="A6896" t="str">
        <f>T("   851829")</f>
        <v xml:space="preserve">   851829</v>
      </c>
      <c r="B6896" t="str">
        <f>T("   Haut-parleurs sans enceinte")</f>
        <v xml:space="preserve">   Haut-parleurs sans enceinte</v>
      </c>
      <c r="C6896">
        <v>129904</v>
      </c>
      <c r="D6896">
        <v>159</v>
      </c>
    </row>
    <row r="6897" spans="1:4" x14ac:dyDescent="0.25">
      <c r="A6897" t="str">
        <f>T("   853990")</f>
        <v xml:space="preserve">   853990</v>
      </c>
      <c r="B6897" t="str">
        <f>T("   Parties de lampes et de tubes à incandescence ou à décharge, de phares et projecteurs scellés, de lampes à rayons ultraviolets et infrarouges et de lampes à arc, n.d.a.")</f>
        <v xml:space="preserve">   Parties de lampes et de tubes à incandescence ou à décharge, de phares et projecteurs scellés, de lampes à rayons ultraviolets et infrarouges et de lampes à arc, n.d.a.</v>
      </c>
      <c r="C6897">
        <v>186293</v>
      </c>
      <c r="D6897">
        <v>6</v>
      </c>
    </row>
    <row r="6898" spans="1:4" x14ac:dyDescent="0.25">
      <c r="A6898" t="str">
        <f>T("   870110")</f>
        <v xml:space="preserve">   870110</v>
      </c>
      <c r="B6898"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6898">
        <v>1327500</v>
      </c>
      <c r="D6898">
        <v>1708</v>
      </c>
    </row>
    <row r="6899" spans="1:4" x14ac:dyDescent="0.25">
      <c r="A6899" t="str">
        <f>T("   870120")</f>
        <v xml:space="preserve">   870120</v>
      </c>
      <c r="B6899" t="str">
        <f>T("   Tracteurs routiers pour semi-remorques")</f>
        <v xml:space="preserve">   Tracteurs routiers pour semi-remorques</v>
      </c>
      <c r="C6899">
        <v>4000000</v>
      </c>
      <c r="D6899">
        <v>19020</v>
      </c>
    </row>
    <row r="6900" spans="1:4" x14ac:dyDescent="0.25">
      <c r="A6900" t="str">
        <f>T("   870210")</f>
        <v xml:space="preserve">   870210</v>
      </c>
      <c r="B6900" t="s">
        <v>469</v>
      </c>
      <c r="C6900">
        <v>140934940</v>
      </c>
      <c r="D6900">
        <v>24151</v>
      </c>
    </row>
    <row r="6901" spans="1:4" x14ac:dyDescent="0.25">
      <c r="A6901" t="str">
        <f>T("   870290")</f>
        <v xml:space="preserve">   870290</v>
      </c>
      <c r="B6901" t="s">
        <v>470</v>
      </c>
      <c r="C6901">
        <v>105011748</v>
      </c>
      <c r="D6901">
        <v>32711</v>
      </c>
    </row>
    <row r="6902" spans="1:4" x14ac:dyDescent="0.25">
      <c r="A6902" t="str">
        <f>T("   870322")</f>
        <v xml:space="preserve">   870322</v>
      </c>
      <c r="B6902" t="s">
        <v>472</v>
      </c>
      <c r="C6902">
        <v>195090670</v>
      </c>
      <c r="D6902">
        <v>137643</v>
      </c>
    </row>
    <row r="6903" spans="1:4" x14ac:dyDescent="0.25">
      <c r="A6903" t="str">
        <f>T("   870323")</f>
        <v xml:space="preserve">   870323</v>
      </c>
      <c r="B6903" t="s">
        <v>473</v>
      </c>
      <c r="C6903">
        <v>595285317</v>
      </c>
      <c r="D6903">
        <v>115578</v>
      </c>
    </row>
    <row r="6904" spans="1:4" x14ac:dyDescent="0.25">
      <c r="A6904" t="str">
        <f>T("   870324")</f>
        <v xml:space="preserve">   870324</v>
      </c>
      <c r="B6904" t="s">
        <v>474</v>
      </c>
      <c r="C6904">
        <v>44163689</v>
      </c>
      <c r="D6904">
        <v>4663</v>
      </c>
    </row>
    <row r="6905" spans="1:4" x14ac:dyDescent="0.25">
      <c r="A6905" t="str">
        <f>T("   870331")</f>
        <v xml:space="preserve">   870331</v>
      </c>
      <c r="B6905" t="s">
        <v>475</v>
      </c>
      <c r="C6905">
        <v>58643744</v>
      </c>
      <c r="D6905">
        <v>9815</v>
      </c>
    </row>
    <row r="6906" spans="1:4" x14ac:dyDescent="0.25">
      <c r="A6906" t="str">
        <f>T("   870332")</f>
        <v xml:space="preserve">   870332</v>
      </c>
      <c r="B6906" t="s">
        <v>476</v>
      </c>
      <c r="C6906">
        <v>74445819</v>
      </c>
      <c r="D6906">
        <v>12245</v>
      </c>
    </row>
    <row r="6907" spans="1:4" x14ac:dyDescent="0.25">
      <c r="A6907" t="str">
        <f>T("   870333")</f>
        <v xml:space="preserve">   870333</v>
      </c>
      <c r="B6907" t="s">
        <v>477</v>
      </c>
      <c r="C6907">
        <v>132484216</v>
      </c>
      <c r="D6907">
        <v>17676</v>
      </c>
    </row>
    <row r="6908" spans="1:4" x14ac:dyDescent="0.25">
      <c r="A6908" t="str">
        <f>T("   870410")</f>
        <v xml:space="preserve">   870410</v>
      </c>
      <c r="B6908" t="str">
        <f>T("   Tombereaux automoteurs utilisés en dehors du réseau routier")</f>
        <v xml:space="preserve">   Tombereaux automoteurs utilisés en dehors du réseau routier</v>
      </c>
      <c r="C6908">
        <v>249979796</v>
      </c>
      <c r="D6908">
        <v>32330</v>
      </c>
    </row>
    <row r="6909" spans="1:4" x14ac:dyDescent="0.25">
      <c r="A6909" t="str">
        <f>T("   870421")</f>
        <v xml:space="preserve">   870421</v>
      </c>
      <c r="B6909" t="s">
        <v>478</v>
      </c>
      <c r="C6909">
        <v>436494318</v>
      </c>
      <c r="D6909">
        <v>117617</v>
      </c>
    </row>
    <row r="6910" spans="1:4" x14ac:dyDescent="0.25">
      <c r="A6910" t="str">
        <f>T("   870422")</f>
        <v xml:space="preserve">   870422</v>
      </c>
      <c r="B6910" t="s">
        <v>479</v>
      </c>
      <c r="C6910">
        <v>148170706</v>
      </c>
      <c r="D6910">
        <v>27025</v>
      </c>
    </row>
    <row r="6911" spans="1:4" x14ac:dyDescent="0.25">
      <c r="A6911" t="str">
        <f>T("   870490")</f>
        <v xml:space="preserve">   870490</v>
      </c>
      <c r="B6911"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6911">
        <v>1200000</v>
      </c>
      <c r="D6911">
        <v>1675</v>
      </c>
    </row>
    <row r="6912" spans="1:4" x14ac:dyDescent="0.25">
      <c r="A6912" t="str">
        <f>T("   870590")</f>
        <v xml:space="preserve">   870590</v>
      </c>
      <c r="B6912" t="s">
        <v>483</v>
      </c>
      <c r="C6912">
        <v>261646807</v>
      </c>
      <c r="D6912">
        <v>23020</v>
      </c>
    </row>
    <row r="6913" spans="1:4" x14ac:dyDescent="0.25">
      <c r="A6913" t="str">
        <f>T("   870899")</f>
        <v xml:space="preserve">   870899</v>
      </c>
      <c r="B6913"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913">
        <v>7234863</v>
      </c>
      <c r="D6913">
        <v>489</v>
      </c>
    </row>
    <row r="6914" spans="1:4" x14ac:dyDescent="0.25">
      <c r="A6914" t="str">
        <f>T("   871110")</f>
        <v xml:space="preserve">   871110</v>
      </c>
      <c r="B6914" t="str">
        <f>T("   Cyclomoteurs, à moteur à piston alternatif, cylindrée &lt;= 50 cm³, y.c. cycles à moteur auxiliaire")</f>
        <v xml:space="preserve">   Cyclomoteurs, à moteur à piston alternatif, cylindrée &lt;= 50 cm³, y.c. cycles à moteur auxiliaire</v>
      </c>
      <c r="C6914">
        <v>180389</v>
      </c>
      <c r="D6914">
        <v>200</v>
      </c>
    </row>
    <row r="6915" spans="1:4" x14ac:dyDescent="0.25">
      <c r="A6915" t="str">
        <f>T("   871120")</f>
        <v xml:space="preserve">   871120</v>
      </c>
      <c r="B6915" t="str">
        <f>T("   Motocycles à moteur à piston alternatif, cylindrée &gt; 50 cm³ mais &lt;= 250 cm³")</f>
        <v xml:space="preserve">   Motocycles à moteur à piston alternatif, cylindrée &gt; 50 cm³ mais &lt;= 250 cm³</v>
      </c>
      <c r="C6915">
        <v>138641416</v>
      </c>
      <c r="D6915">
        <v>40524</v>
      </c>
    </row>
    <row r="6916" spans="1:4" x14ac:dyDescent="0.25">
      <c r="A6916" t="str">
        <f>T("   871130")</f>
        <v xml:space="preserve">   871130</v>
      </c>
      <c r="B6916" t="str">
        <f>T("   Motocycles à moteur à piston alternatif, cylindrée &gt; 250 cm³ mais &lt;= 500 cm³")</f>
        <v xml:space="preserve">   Motocycles à moteur à piston alternatif, cylindrée &gt; 250 cm³ mais &lt;= 500 cm³</v>
      </c>
      <c r="C6916">
        <v>37802835</v>
      </c>
      <c r="D6916">
        <v>3257</v>
      </c>
    </row>
    <row r="6917" spans="1:4" x14ac:dyDescent="0.25">
      <c r="A6917" t="str">
        <f>T("   871200")</f>
        <v xml:space="preserve">   871200</v>
      </c>
      <c r="B6917" t="str">
        <f>T("   BICYCLETTES ET AUTRES CYCLES, -Y.C. LES TRIPORTEURS-, SANS MOTEUR")</f>
        <v xml:space="preserve">   BICYCLETTES ET AUTRES CYCLES, -Y.C. LES TRIPORTEURS-, SANS MOTEUR</v>
      </c>
      <c r="C6917">
        <v>108769</v>
      </c>
      <c r="D6917">
        <v>168</v>
      </c>
    </row>
    <row r="6918" spans="1:4" x14ac:dyDescent="0.25">
      <c r="A6918" t="str">
        <f>T("   871620")</f>
        <v xml:space="preserve">   871620</v>
      </c>
      <c r="B6918" t="str">
        <f>T("   Remorques et semi-remorques autochargeuses ou autodéchargeuses, pour usages agricoles")</f>
        <v xml:space="preserve">   Remorques et semi-remorques autochargeuses ou autodéchargeuses, pour usages agricoles</v>
      </c>
      <c r="C6918">
        <v>1216949</v>
      </c>
      <c r="D6918">
        <v>7540</v>
      </c>
    </row>
    <row r="6919" spans="1:4" x14ac:dyDescent="0.25">
      <c r="A6919" t="str">
        <f>T("   900719")</f>
        <v xml:space="preserve">   900719</v>
      </c>
      <c r="B6919" t="str">
        <f>T("   Caméras cinématographiques, pour films d'une largeur &gt;= 16 mm (à l'excl. des films double-8 mm)")</f>
        <v xml:space="preserve">   Caméras cinématographiques, pour films d'une largeur &gt;= 16 mm (à l'excl. des films double-8 mm)</v>
      </c>
      <c r="C6919">
        <v>121068</v>
      </c>
      <c r="D6919">
        <v>0.5</v>
      </c>
    </row>
    <row r="6920" spans="1:4" x14ac:dyDescent="0.25">
      <c r="A6920" t="str">
        <f>T("   902620")</f>
        <v xml:space="preserve">   902620</v>
      </c>
      <c r="B6920"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6920">
        <v>23444</v>
      </c>
      <c r="D6920">
        <v>1</v>
      </c>
    </row>
    <row r="6921" spans="1:4" x14ac:dyDescent="0.25">
      <c r="A6921" t="str">
        <f>T("KE")</f>
        <v>KE</v>
      </c>
      <c r="B6921" t="str">
        <f>T("Kenya")</f>
        <v>Kenya</v>
      </c>
    </row>
    <row r="6922" spans="1:4" x14ac:dyDescent="0.25">
      <c r="A6922" t="str">
        <f>T("   ZZ_Total_Produit_SH6")</f>
        <v xml:space="preserve">   ZZ_Total_Produit_SH6</v>
      </c>
      <c r="B6922" t="str">
        <f>T("   ZZ_Total_Produit_SH6")</f>
        <v xml:space="preserve">   ZZ_Total_Produit_SH6</v>
      </c>
      <c r="C6922">
        <v>174560412</v>
      </c>
      <c r="D6922">
        <v>37988</v>
      </c>
    </row>
    <row r="6923" spans="1:4" x14ac:dyDescent="0.25">
      <c r="A6923" t="str">
        <f>T("   300490")</f>
        <v xml:space="preserve">   300490</v>
      </c>
      <c r="B6923" t="s">
        <v>79</v>
      </c>
      <c r="C6923">
        <v>88956703</v>
      </c>
      <c r="D6923">
        <v>1500</v>
      </c>
    </row>
    <row r="6924" spans="1:4" x14ac:dyDescent="0.25">
      <c r="A6924" t="str">
        <f>T("   620590")</f>
        <v xml:space="preserve">   620590</v>
      </c>
      <c r="B692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924">
        <v>500000</v>
      </c>
      <c r="D6924">
        <v>300</v>
      </c>
    </row>
    <row r="6925" spans="1:4" x14ac:dyDescent="0.25">
      <c r="A6925" t="str">
        <f>T("   843680")</f>
        <v xml:space="preserve">   843680</v>
      </c>
      <c r="B6925" t="str">
        <f>T("   Machines et appareils pour l'agriculture, la sylviculture, l'horticulture ou l'apiculture, n.d.a.")</f>
        <v xml:space="preserve">   Machines et appareils pour l'agriculture, la sylviculture, l'horticulture ou l'apiculture, n.d.a.</v>
      </c>
      <c r="C6925">
        <v>1653758</v>
      </c>
      <c r="D6925">
        <v>100</v>
      </c>
    </row>
    <row r="6926" spans="1:4" x14ac:dyDescent="0.25">
      <c r="A6926" t="str">
        <f>T("   844390")</f>
        <v xml:space="preserve">   844390</v>
      </c>
      <c r="B6926" t="str">
        <f>T("   Parties de machines et appareils à imprimer et de leur machines et appareils auxiliaires, n.d.a.")</f>
        <v xml:space="preserve">   Parties de machines et appareils à imprimer et de leur machines et appareils auxiliaires, n.d.a.</v>
      </c>
      <c r="C6926">
        <v>572583</v>
      </c>
      <c r="D6926">
        <v>148</v>
      </c>
    </row>
    <row r="6927" spans="1:4" x14ac:dyDescent="0.25">
      <c r="A6927" t="str">
        <f>T("   847910")</f>
        <v xml:space="preserve">   847910</v>
      </c>
      <c r="B6927" t="str">
        <f>T("   Machines et appareils pour les travaux publics, le bâtiment ou les travaux analogues, n.d.a.")</f>
        <v xml:space="preserve">   Machines et appareils pour les travaux publics, le bâtiment ou les travaux analogues, n.d.a.</v>
      </c>
      <c r="C6927">
        <v>49293958</v>
      </c>
      <c r="D6927">
        <v>32980</v>
      </c>
    </row>
    <row r="6928" spans="1:4" x14ac:dyDescent="0.25">
      <c r="A6928" t="str">
        <f>T("   890200")</f>
        <v xml:space="preserve">   890200</v>
      </c>
      <c r="B6928" t="str">
        <f>T("   Bateaux de pêche; navires-usines et autres bateaux pour le traitement et la mise en conserve des produits de la pêche (autres que pour la pêche sportive)")</f>
        <v xml:space="preserve">   Bateaux de pêche; navires-usines et autres bateaux pour le traitement et la mise en conserve des produits de la pêche (autres que pour la pêche sportive)</v>
      </c>
      <c r="C6928">
        <v>32883410</v>
      </c>
      <c r="D6928">
        <v>2460</v>
      </c>
    </row>
    <row r="6929" spans="1:4" x14ac:dyDescent="0.25">
      <c r="A6929" t="str">
        <f>T("   940350")</f>
        <v xml:space="preserve">   940350</v>
      </c>
      <c r="B6929" t="str">
        <f>T("   Meubles pour chambres à coucher, en bois (sauf sièges)")</f>
        <v xml:space="preserve">   Meubles pour chambres à coucher, en bois (sauf sièges)</v>
      </c>
      <c r="C6929">
        <v>700000</v>
      </c>
      <c r="D6929">
        <v>500</v>
      </c>
    </row>
    <row r="6930" spans="1:4" x14ac:dyDescent="0.25">
      <c r="A6930" t="str">
        <f>T("KG")</f>
        <v>KG</v>
      </c>
      <c r="B6930" t="str">
        <f>T("Kirghizistan")</f>
        <v>Kirghizistan</v>
      </c>
    </row>
    <row r="6931" spans="1:4" x14ac:dyDescent="0.25">
      <c r="A6931" t="str">
        <f>T("   ZZ_Total_Produit_SH6")</f>
        <v xml:space="preserve">   ZZ_Total_Produit_SH6</v>
      </c>
      <c r="B6931" t="str">
        <f>T("   ZZ_Total_Produit_SH6")</f>
        <v xml:space="preserve">   ZZ_Total_Produit_SH6</v>
      </c>
      <c r="C6931">
        <v>1900000</v>
      </c>
      <c r="D6931">
        <v>1252</v>
      </c>
    </row>
    <row r="6932" spans="1:4" x14ac:dyDescent="0.25">
      <c r="A6932" t="str">
        <f>T("   442190")</f>
        <v xml:space="preserve">   442190</v>
      </c>
      <c r="B6932" t="str">
        <f>T("   Ouvrages, en bois, n.d.a.")</f>
        <v xml:space="preserve">   Ouvrages, en bois, n.d.a.</v>
      </c>
      <c r="C6932">
        <v>350000</v>
      </c>
      <c r="D6932">
        <v>250</v>
      </c>
    </row>
    <row r="6933" spans="1:4" x14ac:dyDescent="0.25">
      <c r="A6933" t="str">
        <f>T("   621020")</f>
        <v xml:space="preserve">   621020</v>
      </c>
      <c r="B6933"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6933">
        <v>1200000</v>
      </c>
      <c r="D6933">
        <v>698</v>
      </c>
    </row>
    <row r="6934" spans="1:4" x14ac:dyDescent="0.25">
      <c r="A6934" t="str">
        <f>T("   621040")</f>
        <v xml:space="preserve">   621040</v>
      </c>
      <c r="B6934" t="s">
        <v>265</v>
      </c>
      <c r="C6934">
        <v>350000</v>
      </c>
      <c r="D6934">
        <v>304</v>
      </c>
    </row>
    <row r="6935" spans="1:4" x14ac:dyDescent="0.25">
      <c r="A6935" t="str">
        <f>T("KH")</f>
        <v>KH</v>
      </c>
      <c r="B6935" t="str">
        <f>T("Cambodge")</f>
        <v>Cambodge</v>
      </c>
    </row>
    <row r="6936" spans="1:4" x14ac:dyDescent="0.25">
      <c r="A6936" t="str">
        <f>T("   ZZ_Total_Produit_SH6")</f>
        <v xml:space="preserve">   ZZ_Total_Produit_SH6</v>
      </c>
      <c r="B6936" t="str">
        <f>T("   ZZ_Total_Produit_SH6")</f>
        <v xml:space="preserve">   ZZ_Total_Produit_SH6</v>
      </c>
      <c r="C6936">
        <v>48597941</v>
      </c>
      <c r="D6936">
        <v>105240</v>
      </c>
    </row>
    <row r="6937" spans="1:4" x14ac:dyDescent="0.25">
      <c r="A6937" t="str">
        <f>T("   100630")</f>
        <v xml:space="preserve">   100630</v>
      </c>
      <c r="B6937" t="str">
        <f>T("   Riz semi-blanchi ou blanchi, même poli ou glacé")</f>
        <v xml:space="preserve">   Riz semi-blanchi ou blanchi, même poli ou glacé</v>
      </c>
      <c r="C6937">
        <v>31234446</v>
      </c>
      <c r="D6937">
        <v>72000</v>
      </c>
    </row>
    <row r="6938" spans="1:4" x14ac:dyDescent="0.25">
      <c r="A6938" t="str">
        <f>T("   630900")</f>
        <v xml:space="preserve">   630900</v>
      </c>
      <c r="B6938" t="s">
        <v>273</v>
      </c>
      <c r="C6938">
        <v>17363495</v>
      </c>
      <c r="D6938">
        <v>33240</v>
      </c>
    </row>
    <row r="6939" spans="1:4" x14ac:dyDescent="0.25">
      <c r="A6939" t="str">
        <f>T("KP")</f>
        <v>KP</v>
      </c>
      <c r="B6939" t="str">
        <f>T("Corée, Rép. Populaire Démocratique")</f>
        <v>Corée, Rép. Populaire Démocratique</v>
      </c>
    </row>
    <row r="6940" spans="1:4" x14ac:dyDescent="0.25">
      <c r="A6940" t="str">
        <f>T("   ZZ_Total_Produit_SH6")</f>
        <v xml:space="preserve">   ZZ_Total_Produit_SH6</v>
      </c>
      <c r="B6940" t="str">
        <f>T("   ZZ_Total_Produit_SH6")</f>
        <v xml:space="preserve">   ZZ_Total_Produit_SH6</v>
      </c>
      <c r="C6940">
        <v>4776453541</v>
      </c>
      <c r="D6940">
        <v>144356145</v>
      </c>
    </row>
    <row r="6941" spans="1:4" x14ac:dyDescent="0.25">
      <c r="A6941" t="str">
        <f>T("   252310")</f>
        <v xml:space="preserve">   252310</v>
      </c>
      <c r="B6941" t="str">
        <f>T("   Ciments non pulvérisés dits 'clinkers'")</f>
        <v xml:space="preserve">   Ciments non pulvérisés dits 'clinkers'</v>
      </c>
      <c r="C6941">
        <v>4728500000</v>
      </c>
      <c r="D6941">
        <v>144320000</v>
      </c>
    </row>
    <row r="6942" spans="1:4" x14ac:dyDescent="0.25">
      <c r="A6942" t="str">
        <f>T("   300630")</f>
        <v xml:space="preserve">   300630</v>
      </c>
      <c r="B6942" t="str">
        <f>T("   Préparations opacifiantes pour examens radiographiques; réactifs de diagnostic conçus pour être employés sur le patient")</f>
        <v xml:space="preserve">   Préparations opacifiantes pour examens radiographiques; réactifs de diagnostic conçus pour être employés sur le patient</v>
      </c>
      <c r="C6942">
        <v>1297354</v>
      </c>
      <c r="D6942">
        <v>42</v>
      </c>
    </row>
    <row r="6943" spans="1:4" x14ac:dyDescent="0.25">
      <c r="A6943" t="str">
        <f>T("   630900")</f>
        <v xml:space="preserve">   630900</v>
      </c>
      <c r="B6943" t="s">
        <v>273</v>
      </c>
      <c r="C6943">
        <v>17831820</v>
      </c>
      <c r="D6943">
        <v>30400</v>
      </c>
    </row>
    <row r="6944" spans="1:4" x14ac:dyDescent="0.25">
      <c r="A6944" t="str">
        <f>T("   870323")</f>
        <v xml:space="preserve">   870323</v>
      </c>
      <c r="B6944" t="s">
        <v>473</v>
      </c>
      <c r="C6944">
        <v>17644276</v>
      </c>
      <c r="D6944">
        <v>3738</v>
      </c>
    </row>
    <row r="6945" spans="1:4" x14ac:dyDescent="0.25">
      <c r="A6945" t="str">
        <f>T("   870324")</f>
        <v xml:space="preserve">   870324</v>
      </c>
      <c r="B6945" t="s">
        <v>474</v>
      </c>
      <c r="C6945">
        <v>11180091</v>
      </c>
      <c r="D6945">
        <v>1965</v>
      </c>
    </row>
    <row r="6946" spans="1:4" x14ac:dyDescent="0.25">
      <c r="A6946" t="str">
        <f>T("KR")</f>
        <v>KR</v>
      </c>
      <c r="B6946" t="str">
        <f>T("Corée, République de")</f>
        <v>Corée, République de</v>
      </c>
    </row>
    <row r="6947" spans="1:4" x14ac:dyDescent="0.25">
      <c r="A6947" t="str">
        <f>T("   ZZ_Total_Produit_SH6")</f>
        <v xml:space="preserve">   ZZ_Total_Produit_SH6</v>
      </c>
      <c r="B6947" t="str">
        <f>T("   ZZ_Total_Produit_SH6")</f>
        <v xml:space="preserve">   ZZ_Total_Produit_SH6</v>
      </c>
      <c r="C6947">
        <v>2041306203</v>
      </c>
      <c r="D6947">
        <v>3072893</v>
      </c>
    </row>
    <row r="6948" spans="1:4" x14ac:dyDescent="0.25">
      <c r="A6948" t="str">
        <f>T("   030379")</f>
        <v xml:space="preserve">   030379</v>
      </c>
      <c r="B6948" t="s">
        <v>17</v>
      </c>
      <c r="C6948">
        <v>4375253</v>
      </c>
      <c r="D6948">
        <v>27000</v>
      </c>
    </row>
    <row r="6949" spans="1:4" x14ac:dyDescent="0.25">
      <c r="A6949" t="str">
        <f>T("   382200")</f>
        <v xml:space="preserve">   382200</v>
      </c>
      <c r="B6949" t="s">
        <v>122</v>
      </c>
      <c r="C6949">
        <v>10225974</v>
      </c>
      <c r="D6949">
        <v>183</v>
      </c>
    </row>
    <row r="6950" spans="1:4" x14ac:dyDescent="0.25">
      <c r="A6950" t="str">
        <f>T("   401110")</f>
        <v xml:space="preserve">   401110</v>
      </c>
      <c r="B6950"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6950">
        <v>69906256</v>
      </c>
      <c r="D6950">
        <v>24298</v>
      </c>
    </row>
    <row r="6951" spans="1:4" x14ac:dyDescent="0.25">
      <c r="A6951" t="str">
        <f>T("   401120")</f>
        <v xml:space="preserve">   401120</v>
      </c>
      <c r="B6951"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6951">
        <v>22913410</v>
      </c>
      <c r="D6951">
        <v>9831</v>
      </c>
    </row>
    <row r="6952" spans="1:4" x14ac:dyDescent="0.25">
      <c r="A6952" t="str">
        <f>T("   420222")</f>
        <v xml:space="preserve">   420222</v>
      </c>
      <c r="B6952"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6952">
        <v>120863</v>
      </c>
      <c r="D6952">
        <v>1000</v>
      </c>
    </row>
    <row r="6953" spans="1:4" x14ac:dyDescent="0.25">
      <c r="A6953" t="str">
        <f>T("   420229")</f>
        <v xml:space="preserve">   420229</v>
      </c>
      <c r="B6953"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953">
        <v>54272260</v>
      </c>
      <c r="D6953">
        <v>102955</v>
      </c>
    </row>
    <row r="6954" spans="1:4" x14ac:dyDescent="0.25">
      <c r="A6954" t="str">
        <f>T("   420299")</f>
        <v xml:space="preserve">   420299</v>
      </c>
      <c r="B6954" t="s">
        <v>160</v>
      </c>
      <c r="C6954">
        <v>29033100</v>
      </c>
      <c r="D6954">
        <v>48425</v>
      </c>
    </row>
    <row r="6955" spans="1:4" x14ac:dyDescent="0.25">
      <c r="A6955" t="str">
        <f>T("   480220")</f>
        <v xml:space="preserve">   480220</v>
      </c>
      <c r="B6955" t="str">
        <f>T("   Papiers et cartons supports pour papiers ou cartons photosensibles, sensibles à la chaleur ou électrosensibles, non couchés ni enduits, en rouleaux ou en feuilles de forme carrée ou rectangulaire, de tout format")</f>
        <v xml:space="preserve">   Papiers et cartons supports pour papiers ou cartons photosensibles, sensibles à la chaleur ou électrosensibles, non couchés ni enduits, en rouleaux ou en feuilles de forme carrée ou rectangulaire, de tout format</v>
      </c>
      <c r="C6955">
        <v>395464</v>
      </c>
      <c r="D6955">
        <v>105</v>
      </c>
    </row>
    <row r="6956" spans="1:4" x14ac:dyDescent="0.25">
      <c r="A6956" t="str">
        <f>T("   490199")</f>
        <v xml:space="preserve">   490199</v>
      </c>
      <c r="B695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956">
        <v>26444783</v>
      </c>
      <c r="D6956">
        <v>25033</v>
      </c>
    </row>
    <row r="6957" spans="1:4" x14ac:dyDescent="0.25">
      <c r="A6957" t="str">
        <f>T("   491000")</f>
        <v xml:space="preserve">   491000</v>
      </c>
      <c r="B6957" t="str">
        <f>T("   Calendriers de tous genres, imprimés, y.c. les blocs de calendriers à effeuiller")</f>
        <v xml:space="preserve">   Calendriers de tous genres, imprimés, y.c. les blocs de calendriers à effeuiller</v>
      </c>
      <c r="C6957">
        <v>28761</v>
      </c>
      <c r="D6957">
        <v>16</v>
      </c>
    </row>
    <row r="6958" spans="1:4" x14ac:dyDescent="0.25">
      <c r="A6958" t="str">
        <f>T("   520852")</f>
        <v xml:space="preserve">   520852</v>
      </c>
      <c r="B6958" t="str">
        <f>T("   Tissus de coton, imprimés, à armure toile, contenant &gt;= 85% en poids de coton, d'un poids &gt; 100 g/m² mais &lt;= 200 g/m²")</f>
        <v xml:space="preserve">   Tissus de coton, imprimés, à armure toile, contenant &gt;= 85% en poids de coton, d'un poids &gt; 100 g/m² mais &lt;= 200 g/m²</v>
      </c>
      <c r="C6958">
        <v>17000148</v>
      </c>
      <c r="D6958">
        <v>17670</v>
      </c>
    </row>
    <row r="6959" spans="1:4" x14ac:dyDescent="0.25">
      <c r="A6959" t="str">
        <f>T("   600199")</f>
        <v xml:space="preserve">   600199</v>
      </c>
      <c r="B6959" t="str">
        <f>T("   VELOURS ET PELUCHES, EN BONNETERIE (AUTRES QUE DE COTON, DE FIBRES SYNTHÉTIQUES OU ARTIFICIELLES ET À L'EXCL. DES ÉTOFFES DITES 'À LONGS POILS')")</f>
        <v xml:space="preserve">   VELOURS ET PELUCHES, EN BONNETERIE (AUTRES QUE DE COTON, DE FIBRES SYNTHÉTIQUES OU ARTIFICIELLES ET À L'EXCL. DES ÉTOFFES DITES 'À LONGS POILS')</v>
      </c>
      <c r="C6959">
        <v>6413977</v>
      </c>
      <c r="D6959">
        <v>3600</v>
      </c>
    </row>
    <row r="6960" spans="1:4" x14ac:dyDescent="0.25">
      <c r="A6960" t="str">
        <f>T("   610590")</f>
        <v xml:space="preserve">   610590</v>
      </c>
      <c r="B6960"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6960">
        <v>1043066</v>
      </c>
      <c r="D6960">
        <v>349</v>
      </c>
    </row>
    <row r="6961" spans="1:4" x14ac:dyDescent="0.25">
      <c r="A6961" t="str">
        <f>T("   620590")</f>
        <v xml:space="preserve">   620590</v>
      </c>
      <c r="B696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961">
        <v>50509</v>
      </c>
      <c r="D6961">
        <v>100</v>
      </c>
    </row>
    <row r="6962" spans="1:4" x14ac:dyDescent="0.25">
      <c r="A6962" t="str">
        <f>T("   621040")</f>
        <v xml:space="preserve">   621040</v>
      </c>
      <c r="B6962" t="s">
        <v>265</v>
      </c>
      <c r="C6962">
        <v>7258318</v>
      </c>
      <c r="D6962">
        <v>16800</v>
      </c>
    </row>
    <row r="6963" spans="1:4" x14ac:dyDescent="0.25">
      <c r="A6963" t="str">
        <f>T("   621133")</f>
        <v xml:space="preserve">   621133</v>
      </c>
      <c r="B6963" t="str">
        <f>T("   Survêtements de sport 'trainings' et autres vêtements n.d.a., de fibres synthétiques ou artificielles, pour hommes ou garçonnets (autres qu'en bonneterie)")</f>
        <v xml:space="preserve">   Survêtements de sport 'trainings' et autres vêtements n.d.a., de fibres synthétiques ou artificielles, pour hommes ou garçonnets (autres qu'en bonneterie)</v>
      </c>
      <c r="C6963">
        <v>12157754</v>
      </c>
      <c r="D6963">
        <v>4071</v>
      </c>
    </row>
    <row r="6964" spans="1:4" x14ac:dyDescent="0.25">
      <c r="A6964" t="str">
        <f>T("   621149")</f>
        <v xml:space="preserve">   621149</v>
      </c>
      <c r="B6964"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6964">
        <v>5752</v>
      </c>
      <c r="D6964">
        <v>2</v>
      </c>
    </row>
    <row r="6965" spans="1:4" x14ac:dyDescent="0.25">
      <c r="A6965" t="str">
        <f>T("   630699")</f>
        <v xml:space="preserve">   630699</v>
      </c>
      <c r="B6965" t="str">
        <f>T("   Articles de camping, de matières textiles (autres que de coton et sauf tentes et matelas pneumatiques, stores d'extérieur, voiles, sacs à dos, sacs à bandoulière et conditionnements simil. et sauf sacs de couchage, matelas et coussins rembourrés)")</f>
        <v xml:space="preserve">   Articles de camping, de matières textiles (autres que de coton et sauf tentes et matelas pneumatiques, stores d'extérieur, voiles, sacs à dos, sacs à bandoulière et conditionnements simil. et sauf sacs de couchage, matelas et coussins rembourrés)</v>
      </c>
      <c r="C6965">
        <v>91000</v>
      </c>
      <c r="D6965">
        <v>52</v>
      </c>
    </row>
    <row r="6966" spans="1:4" x14ac:dyDescent="0.25">
      <c r="A6966" t="str">
        <f>T("   630900")</f>
        <v xml:space="preserve">   630900</v>
      </c>
      <c r="B6966" t="s">
        <v>273</v>
      </c>
      <c r="C6966">
        <v>1437111669</v>
      </c>
      <c r="D6966">
        <v>2645373</v>
      </c>
    </row>
    <row r="6967" spans="1:4" x14ac:dyDescent="0.25">
      <c r="A6967" t="str">
        <f>T("   711790")</f>
        <v xml:space="preserve">   711790</v>
      </c>
      <c r="B6967" t="str">
        <f>T("   Bijouterie de fantaisie (autre qu'en métaux communs, même argentés, dorés ou platinés)")</f>
        <v xml:space="preserve">   Bijouterie de fantaisie (autre qu'en métaux communs, même argentés, dorés ou platinés)</v>
      </c>
      <c r="C6967">
        <v>490600</v>
      </c>
      <c r="D6967">
        <v>229</v>
      </c>
    </row>
    <row r="6968" spans="1:4" x14ac:dyDescent="0.25">
      <c r="A6968" t="str">
        <f>T("   830140")</f>
        <v xml:space="preserve">   830140</v>
      </c>
      <c r="B6968"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6968">
        <v>5752</v>
      </c>
      <c r="D6968">
        <v>3</v>
      </c>
    </row>
    <row r="6969" spans="1:4" x14ac:dyDescent="0.25">
      <c r="A6969" t="str">
        <f>T("   830300")</f>
        <v xml:space="preserve">   830300</v>
      </c>
      <c r="B6969"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6969">
        <v>8335418</v>
      </c>
      <c r="D6969">
        <v>11400</v>
      </c>
    </row>
    <row r="6970" spans="1:4" x14ac:dyDescent="0.25">
      <c r="A6970" t="str">
        <f>T("   841510")</f>
        <v xml:space="preserve">   841510</v>
      </c>
      <c r="B6970" t="s">
        <v>400</v>
      </c>
      <c r="C6970">
        <v>1312500</v>
      </c>
      <c r="D6970">
        <v>661</v>
      </c>
    </row>
    <row r="6971" spans="1:4" x14ac:dyDescent="0.25">
      <c r="A6971" t="str">
        <f>T("   841810")</f>
        <v xml:space="preserve">   841810</v>
      </c>
      <c r="B6971" t="str">
        <f>T("   Réfrigérateurs et congélateurs-conservateurs combinés, avec portes extérieures séparées")</f>
        <v xml:space="preserve">   Réfrigérateurs et congélateurs-conservateurs combinés, avec portes extérieures séparées</v>
      </c>
      <c r="C6971">
        <v>22424749</v>
      </c>
      <c r="D6971">
        <v>7967</v>
      </c>
    </row>
    <row r="6972" spans="1:4" x14ac:dyDescent="0.25">
      <c r="A6972" t="str">
        <f>T("   841821")</f>
        <v xml:space="preserve">   841821</v>
      </c>
      <c r="B6972" t="str">
        <f>T("   Réfrigérateurs ménagers à compression")</f>
        <v xml:space="preserve">   Réfrigérateurs ménagers à compression</v>
      </c>
      <c r="C6972">
        <v>6198954</v>
      </c>
      <c r="D6972">
        <v>2576</v>
      </c>
    </row>
    <row r="6973" spans="1:4" x14ac:dyDescent="0.25">
      <c r="A6973" t="str">
        <f>T("   841822")</f>
        <v xml:space="preserve">   841822</v>
      </c>
      <c r="B6973" t="str">
        <f>T("   Réfrigérateurs ménagers à absorption, électriques")</f>
        <v xml:space="preserve">   Réfrigérateurs ménagers à absorption, électriques</v>
      </c>
      <c r="C6973">
        <v>1025000</v>
      </c>
      <c r="D6973">
        <v>2191</v>
      </c>
    </row>
    <row r="6974" spans="1:4" x14ac:dyDescent="0.25">
      <c r="A6974" t="str">
        <f>T("   841829")</f>
        <v xml:space="preserve">   841829</v>
      </c>
      <c r="B6974" t="str">
        <f>T("   Réfrigérateurs ménagers à absorption, non-électriques")</f>
        <v xml:space="preserve">   Réfrigérateurs ménagers à absorption, non-électriques</v>
      </c>
      <c r="C6974">
        <v>1446791</v>
      </c>
      <c r="D6974">
        <v>1680</v>
      </c>
    </row>
    <row r="6975" spans="1:4" x14ac:dyDescent="0.25">
      <c r="A6975" t="str">
        <f>T("   853910")</f>
        <v xml:space="preserve">   853910</v>
      </c>
      <c r="B6975" t="str">
        <f>T("   Phares et projecteurs scellés")</f>
        <v xml:space="preserve">   Phares et projecteurs scellés</v>
      </c>
      <c r="C6975">
        <v>75436</v>
      </c>
      <c r="D6975">
        <v>25</v>
      </c>
    </row>
    <row r="6976" spans="1:4" x14ac:dyDescent="0.25">
      <c r="A6976" t="str">
        <f>T("   870210")</f>
        <v xml:space="preserve">   870210</v>
      </c>
      <c r="B6976" t="s">
        <v>469</v>
      </c>
      <c r="C6976">
        <v>19494046</v>
      </c>
      <c r="D6976">
        <v>57685</v>
      </c>
    </row>
    <row r="6977" spans="1:4" x14ac:dyDescent="0.25">
      <c r="A6977" t="str">
        <f>T("   870290")</f>
        <v xml:space="preserve">   870290</v>
      </c>
      <c r="B6977" t="s">
        <v>470</v>
      </c>
      <c r="C6977">
        <v>1200000</v>
      </c>
      <c r="D6977">
        <v>1692</v>
      </c>
    </row>
    <row r="6978" spans="1:4" x14ac:dyDescent="0.25">
      <c r="A6978" t="str">
        <f>T("   870322")</f>
        <v xml:space="preserve">   870322</v>
      </c>
      <c r="B6978" t="s">
        <v>472</v>
      </c>
      <c r="C6978">
        <v>20127288</v>
      </c>
      <c r="D6978">
        <v>5742</v>
      </c>
    </row>
    <row r="6979" spans="1:4" x14ac:dyDescent="0.25">
      <c r="A6979" t="str">
        <f>T("   870323")</f>
        <v xml:space="preserve">   870323</v>
      </c>
      <c r="B6979" t="s">
        <v>473</v>
      </c>
      <c r="C6979">
        <v>237728395</v>
      </c>
      <c r="D6979">
        <v>51412</v>
      </c>
    </row>
    <row r="6980" spans="1:4" x14ac:dyDescent="0.25">
      <c r="A6980" t="str">
        <f>T("   870324")</f>
        <v xml:space="preserve">   870324</v>
      </c>
      <c r="B6980" t="s">
        <v>474</v>
      </c>
      <c r="C6980">
        <v>4731821</v>
      </c>
      <c r="D6980">
        <v>1188</v>
      </c>
    </row>
    <row r="6981" spans="1:4" x14ac:dyDescent="0.25">
      <c r="A6981" t="str">
        <f>T("   870899")</f>
        <v xml:space="preserve">   870899</v>
      </c>
      <c r="B698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981">
        <v>16064935</v>
      </c>
      <c r="D6981">
        <v>1181</v>
      </c>
    </row>
    <row r="6982" spans="1:4" x14ac:dyDescent="0.25">
      <c r="A6982" t="str">
        <f>T("   900719")</f>
        <v xml:space="preserve">   900719</v>
      </c>
      <c r="B6982" t="str">
        <f>T("   Caméras cinématographiques, pour films d'une largeur &gt;= 16 mm (à l'excl. des films double-8 mm)")</f>
        <v xml:space="preserve">   Caméras cinématographiques, pour films d'une largeur &gt;= 16 mm (à l'excl. des films double-8 mm)</v>
      </c>
      <c r="C6982">
        <v>671167</v>
      </c>
      <c r="D6982">
        <v>309</v>
      </c>
    </row>
    <row r="6983" spans="1:4" x14ac:dyDescent="0.25">
      <c r="A6983" t="str">
        <f>T("   901890")</f>
        <v xml:space="preserve">   901890</v>
      </c>
      <c r="B6983" t="str">
        <f>T("   Instruments et appareils pour la médecine, la chirurgie ou l'art vétérinaire, n.d.a.")</f>
        <v xml:space="preserve">   Instruments et appareils pour la médecine, la chirurgie ou l'art vétérinaire, n.d.a.</v>
      </c>
      <c r="C6983">
        <v>1084769</v>
      </c>
      <c r="D6983">
        <v>79</v>
      </c>
    </row>
    <row r="6984" spans="1:4" x14ac:dyDescent="0.25">
      <c r="A6984" t="str">
        <f>T("   940169")</f>
        <v xml:space="preserve">   940169</v>
      </c>
      <c r="B6984" t="str">
        <f>T("   Sièges, avec bâti en bois, non rembourrés")</f>
        <v xml:space="preserve">   Sièges, avec bâti en bois, non rembourrés</v>
      </c>
      <c r="C6984">
        <v>40265</v>
      </c>
      <c r="D6984">
        <v>10</v>
      </c>
    </row>
    <row r="6985" spans="1:4" x14ac:dyDescent="0.25">
      <c r="A6985" t="str">
        <f>T("KW")</f>
        <v>KW</v>
      </c>
      <c r="B6985" t="str">
        <f>T("Koweit")</f>
        <v>Koweit</v>
      </c>
    </row>
    <row r="6986" spans="1:4" x14ac:dyDescent="0.25">
      <c r="A6986" t="str">
        <f>T("   ZZ_Total_Produit_SH6")</f>
        <v xml:space="preserve">   ZZ_Total_Produit_SH6</v>
      </c>
      <c r="B6986" t="str">
        <f>T("   ZZ_Total_Produit_SH6")</f>
        <v xml:space="preserve">   ZZ_Total_Produit_SH6</v>
      </c>
      <c r="C6986">
        <v>28765020</v>
      </c>
      <c r="D6986">
        <v>51416</v>
      </c>
    </row>
    <row r="6987" spans="1:4" x14ac:dyDescent="0.25">
      <c r="A6987" t="str">
        <f>T("   481141")</f>
        <v xml:space="preserve">   481141</v>
      </c>
      <c r="B6987"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6987">
        <v>5892171</v>
      </c>
      <c r="D6987">
        <v>8190</v>
      </c>
    </row>
    <row r="6988" spans="1:4" x14ac:dyDescent="0.25">
      <c r="A6988" t="str">
        <f>T("   481930")</f>
        <v xml:space="preserve">   481930</v>
      </c>
      <c r="B6988" t="str">
        <f>T("   Sacs, en papier, carton, ouate de cellulose ou nappes de fibres de cellulose, d'une largeur à la base &gt;= 40 cm")</f>
        <v xml:space="preserve">   Sacs, en papier, carton, ouate de cellulose ou nappes de fibres de cellulose, d'une largeur à la base &gt;= 40 cm</v>
      </c>
      <c r="C6988">
        <v>518208</v>
      </c>
      <c r="D6988">
        <v>2800</v>
      </c>
    </row>
    <row r="6989" spans="1:4" x14ac:dyDescent="0.25">
      <c r="A6989" t="str">
        <f>T("   490199")</f>
        <v xml:space="preserve">   490199</v>
      </c>
      <c r="B698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989">
        <v>436869</v>
      </c>
      <c r="D6989">
        <v>2500</v>
      </c>
    </row>
    <row r="6990" spans="1:4" x14ac:dyDescent="0.25">
      <c r="A6990" t="str">
        <f>T("   570310")</f>
        <v xml:space="preserve">   570310</v>
      </c>
      <c r="B6990" t="str">
        <f>T("   Tapis et autres revêtements de sol, de laine ou de poils fins, touffetés, même confectionnés")</f>
        <v xml:space="preserve">   Tapis et autres revêtements de sol, de laine ou de poils fins, touffetés, même confectionnés</v>
      </c>
      <c r="C6990">
        <v>348971</v>
      </c>
      <c r="D6990">
        <v>2200</v>
      </c>
    </row>
    <row r="6991" spans="1:4" x14ac:dyDescent="0.25">
      <c r="A6991" t="str">
        <f>T("   611300")</f>
        <v xml:space="preserve">   611300</v>
      </c>
      <c r="B6991" t="str">
        <f>T("   Vêtements confectionnés en étoffes de bonneterie caoutchoutées ou imprégnées, enduites ou recouvertes de matière plastique ou d'autres substances (sauf vêtements pour bébés et accessoires du vêtement)")</f>
        <v xml:space="preserve">   Vêtements confectionnés en étoffes de bonneterie caoutchoutées ou imprégnées, enduites ou recouvertes de matière plastique ou d'autres substances (sauf vêtements pour bébés et accessoires du vêtement)</v>
      </c>
      <c r="C6991">
        <v>354874</v>
      </c>
      <c r="D6991">
        <v>1200</v>
      </c>
    </row>
    <row r="6992" spans="1:4" x14ac:dyDescent="0.25">
      <c r="A6992" t="str">
        <f>T("   630900")</f>
        <v xml:space="preserve">   630900</v>
      </c>
      <c r="B6992" t="s">
        <v>273</v>
      </c>
      <c r="C6992">
        <v>615946</v>
      </c>
      <c r="D6992">
        <v>1900</v>
      </c>
    </row>
    <row r="6993" spans="1:4" x14ac:dyDescent="0.25">
      <c r="A6993" t="str">
        <f>T("   640590")</f>
        <v xml:space="preserve">   640590</v>
      </c>
      <c r="B6993" t="s">
        <v>283</v>
      </c>
      <c r="C6993">
        <v>348971</v>
      </c>
      <c r="D6993">
        <v>2000</v>
      </c>
    </row>
    <row r="6994" spans="1:4" x14ac:dyDescent="0.25">
      <c r="A6994" t="str">
        <f>T("   761519")</f>
        <v xml:space="preserve">   761519</v>
      </c>
      <c r="B6994" t="s">
        <v>373</v>
      </c>
      <c r="C6994">
        <v>500000</v>
      </c>
      <c r="D6994">
        <v>2350</v>
      </c>
    </row>
    <row r="6995" spans="1:4" x14ac:dyDescent="0.25">
      <c r="A6995" t="str">
        <f>T("   852812")</f>
        <v xml:space="preserve">   852812</v>
      </c>
      <c r="B699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6995">
        <v>400000</v>
      </c>
      <c r="D6995">
        <v>86</v>
      </c>
    </row>
    <row r="6996" spans="1:4" x14ac:dyDescent="0.25">
      <c r="A6996" t="str">
        <f>T("   870322")</f>
        <v xml:space="preserve">   870322</v>
      </c>
      <c r="B6996" t="s">
        <v>472</v>
      </c>
      <c r="C6996">
        <v>8527480</v>
      </c>
      <c r="D6996">
        <v>2840</v>
      </c>
    </row>
    <row r="6997" spans="1:4" x14ac:dyDescent="0.25">
      <c r="A6997" t="str">
        <f>T("   870323")</f>
        <v xml:space="preserve">   870323</v>
      </c>
      <c r="B6997" t="s">
        <v>473</v>
      </c>
      <c r="C6997">
        <v>3762598</v>
      </c>
      <c r="D6997">
        <v>1500</v>
      </c>
    </row>
    <row r="6998" spans="1:4" x14ac:dyDescent="0.25">
      <c r="A6998" t="str">
        <f>T("   940380")</f>
        <v xml:space="preserve">   940380</v>
      </c>
      <c r="B6998" t="str">
        <f>T("   Meubles en rotin, osier, bambou ou autres matières (sauf métal, bois et matières plastiques)")</f>
        <v xml:space="preserve">   Meubles en rotin, osier, bambou ou autres matières (sauf métal, bois et matières plastiques)</v>
      </c>
      <c r="C6998">
        <v>7058932</v>
      </c>
      <c r="D6998">
        <v>23850</v>
      </c>
    </row>
    <row r="6999" spans="1:4" x14ac:dyDescent="0.25">
      <c r="A6999" t="str">
        <f>T("KY")</f>
        <v>KY</v>
      </c>
      <c r="B6999" t="str">
        <f>T("Caïmans, îles")</f>
        <v>Caïmans, îles</v>
      </c>
    </row>
    <row r="7000" spans="1:4" x14ac:dyDescent="0.25">
      <c r="A7000" t="str">
        <f>T("   ZZ_Total_Produit_SH6")</f>
        <v xml:space="preserve">   ZZ_Total_Produit_SH6</v>
      </c>
      <c r="B7000" t="str">
        <f>T("   ZZ_Total_Produit_SH6")</f>
        <v xml:space="preserve">   ZZ_Total_Produit_SH6</v>
      </c>
      <c r="C7000">
        <v>1500000</v>
      </c>
      <c r="D7000">
        <v>746</v>
      </c>
    </row>
    <row r="7001" spans="1:4" x14ac:dyDescent="0.25">
      <c r="A7001" t="str">
        <f>T("   300290")</f>
        <v xml:space="preserve">   300290</v>
      </c>
      <c r="B7001" t="str">
        <f>T("   Sang humain; sang animal préparé en vue d'usages thérapeutiques, prophylactiques ou de diagnostic; toxines, cultures de micro-organismes et produits simil. (à l'excl. des levures et des vaccins)")</f>
        <v xml:space="preserve">   Sang humain; sang animal préparé en vue d'usages thérapeutiques, prophylactiques ou de diagnostic; toxines, cultures de micro-organismes et produits simil. (à l'excl. des levures et des vaccins)</v>
      </c>
      <c r="C7001">
        <v>1500000</v>
      </c>
      <c r="D7001">
        <v>746</v>
      </c>
    </row>
    <row r="7002" spans="1:4" x14ac:dyDescent="0.25">
      <c r="A7002" t="str">
        <f>T("LB")</f>
        <v>LB</v>
      </c>
      <c r="B7002" t="str">
        <f>T("Liban")</f>
        <v>Liban</v>
      </c>
    </row>
    <row r="7003" spans="1:4" x14ac:dyDescent="0.25">
      <c r="A7003" t="str">
        <f>T("   ZZ_Total_Produit_SH6")</f>
        <v xml:space="preserve">   ZZ_Total_Produit_SH6</v>
      </c>
      <c r="B7003" t="str">
        <f>T("   ZZ_Total_Produit_SH6")</f>
        <v xml:space="preserve">   ZZ_Total_Produit_SH6</v>
      </c>
      <c r="C7003">
        <v>1826870729</v>
      </c>
      <c r="D7003">
        <v>3031785</v>
      </c>
    </row>
    <row r="7004" spans="1:4" x14ac:dyDescent="0.25">
      <c r="A7004" t="str">
        <f>T("   040120")</f>
        <v xml:space="preserve">   040120</v>
      </c>
      <c r="B7004"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7004">
        <v>383481</v>
      </c>
      <c r="D7004">
        <v>1250</v>
      </c>
    </row>
    <row r="7005" spans="1:4" x14ac:dyDescent="0.25">
      <c r="A7005" t="str">
        <f>T("   040229")</f>
        <v xml:space="preserve">   040229</v>
      </c>
      <c r="B7005"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7005">
        <v>231526</v>
      </c>
      <c r="D7005">
        <v>534</v>
      </c>
    </row>
    <row r="7006" spans="1:4" x14ac:dyDescent="0.25">
      <c r="A7006" t="str">
        <f>T("   040299")</f>
        <v xml:space="preserve">   040299</v>
      </c>
      <c r="B7006"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7006">
        <v>334587</v>
      </c>
      <c r="D7006">
        <v>1780</v>
      </c>
    </row>
    <row r="7007" spans="1:4" x14ac:dyDescent="0.25">
      <c r="A7007" t="str">
        <f>T("   040610")</f>
        <v xml:space="preserve">   040610</v>
      </c>
      <c r="B7007" t="str">
        <f>T("   FROMAGES FRAIS [NON-AFFINÉS], Y.C. LE FROMAGE DE LACTOSÉRUM, ET CAILLEBOTTE [01/01/1988-31/12/1991: FROMAGES FRAIS [NON AFFINES], Y.C. LE FROMAGE DE LACTOSERUM, NON FERMENTES, ET CAILLEBOTTE]")</f>
        <v xml:space="preserve">   FROMAGES FRAIS [NON-AFFINÉS], Y.C. LE FROMAGE DE LACTOSÉRUM, ET CAILLEBOTTE [01/01/1988-31/12/1991: FROMAGES FRAIS [NON AFFINES], Y.C. LE FROMAGE DE LACTOSERUM, NON FERMENTES, ET CAILLEBOTTE]</v>
      </c>
      <c r="C7007">
        <v>560969</v>
      </c>
      <c r="D7007">
        <v>1143</v>
      </c>
    </row>
    <row r="7008" spans="1:4" x14ac:dyDescent="0.25">
      <c r="A7008" t="str">
        <f>T("   040630")</f>
        <v xml:space="preserve">   040630</v>
      </c>
      <c r="B7008" t="str">
        <f>T("   Fromages fondus (à l'excl. des fromages râpés ou en poudre)")</f>
        <v xml:space="preserve">   Fromages fondus (à l'excl. des fromages râpés ou en poudre)</v>
      </c>
      <c r="C7008">
        <v>71903</v>
      </c>
      <c r="D7008">
        <v>275</v>
      </c>
    </row>
    <row r="7009" spans="1:4" x14ac:dyDescent="0.25">
      <c r="A7009" t="str">
        <f>T("   040690")</f>
        <v xml:space="preserve">   040690</v>
      </c>
      <c r="B7009" t="s">
        <v>18</v>
      </c>
      <c r="C7009">
        <v>578816</v>
      </c>
      <c r="D7009">
        <v>1026</v>
      </c>
    </row>
    <row r="7010" spans="1:4" x14ac:dyDescent="0.25">
      <c r="A7010" t="str">
        <f>T("   071029")</f>
        <v xml:space="preserve">   071029</v>
      </c>
      <c r="B7010" t="str">
        <f>T("   Légumes à cosse, écossés ou non, non cuits ou cuits à l'eau ou à la vapeur, congelés (à l'excl. des pois 'Pisum sativum' et des haricots 'Vigna spp., Phaseolus spp.')")</f>
        <v xml:space="preserve">   Légumes à cosse, écossés ou non, non cuits ou cuits à l'eau ou à la vapeur, congelés (à l'excl. des pois 'Pisum sativum' et des haricots 'Vigna spp., Phaseolus spp.')</v>
      </c>
      <c r="C7010">
        <v>469763</v>
      </c>
      <c r="D7010">
        <v>3515</v>
      </c>
    </row>
    <row r="7011" spans="1:4" x14ac:dyDescent="0.25">
      <c r="A7011" t="str">
        <f>T("   071120")</f>
        <v xml:space="preserve">   071120</v>
      </c>
      <c r="B7011" t="str">
        <f>T("   Olives, conservées provisoirement [p.ex. au moyen de gaz sulfureux ou dans de l'eau salée, soufrée ou additionnée d'autres substances servant à assurer provisoirement leur conservation], mais impropres à l'alimentation en l'état")</f>
        <v xml:space="preserve">   Olives, conservées provisoirement [p.ex. au moyen de gaz sulfureux ou dans de l'eau salée, soufrée ou additionnée d'autres substances servant à assurer provisoirement leur conservation], mais impropres à l'alimentation en l'état</v>
      </c>
      <c r="C7011">
        <v>89543</v>
      </c>
      <c r="D7011">
        <v>284</v>
      </c>
    </row>
    <row r="7012" spans="1:4" x14ac:dyDescent="0.25">
      <c r="A7012" t="str">
        <f>T("   071140")</f>
        <v xml:space="preserve">   071140</v>
      </c>
      <c r="B7012" t="str">
        <f>T("   Concombres et cornichons, conservés provisoirement [p.ex. au moyen de gaz sulfureux ou dans de l'eau salée, soufrée ou additionnée d'autres substances servant à assurer provisoirement leur conservation], mais impropres à l'alimentation en l'état")</f>
        <v xml:space="preserve">   Concombres et cornichons, conservés provisoirement [p.ex. au moyen de gaz sulfureux ou dans de l'eau salée, soufrée ou additionnée d'autres substances servant à assurer provisoirement leur conservation], mais impropres à l'alimentation en l'état</v>
      </c>
      <c r="C7012">
        <v>486224</v>
      </c>
      <c r="D7012">
        <v>2343</v>
      </c>
    </row>
    <row r="7013" spans="1:4" x14ac:dyDescent="0.25">
      <c r="A7013" t="str">
        <f>T("   071320")</f>
        <v xml:space="preserve">   071320</v>
      </c>
      <c r="B7013" t="str">
        <f>T("   Pois chiches, secs, écossés, même décortiqués ou cassés")</f>
        <v xml:space="preserve">   Pois chiches, secs, écossés, même décortiqués ou cassés</v>
      </c>
      <c r="C7013">
        <v>5478061</v>
      </c>
      <c r="D7013">
        <v>13311</v>
      </c>
    </row>
    <row r="7014" spans="1:4" x14ac:dyDescent="0.25">
      <c r="A7014" t="str">
        <f>T("   071333")</f>
        <v xml:space="preserve">   071333</v>
      </c>
      <c r="B7014" t="str">
        <f>T("   Haricots communs 'Phaseolus vulgaris', secs, écossés, même décortiqués ou cassés")</f>
        <v xml:space="preserve">   Haricots communs 'Phaseolus vulgaris', secs, écossés, même décortiqués ou cassés</v>
      </c>
      <c r="C7014">
        <v>12463</v>
      </c>
      <c r="D7014">
        <v>72</v>
      </c>
    </row>
    <row r="7015" spans="1:4" x14ac:dyDescent="0.25">
      <c r="A7015" t="str">
        <f>T("   071339")</f>
        <v xml:space="preserve">   071339</v>
      </c>
      <c r="B7015" t="str">
        <f>T("   Haricots 'Vigna spp., Phaseolus spp.', secs, écossés, même décortiqués ou cassés (à l'excl. des haricots des espèces 'Vigna mungo L. Hepper ou Vigna radiata L. Wilczek', des haricots 'petits rouges' [haricots Adzuki] et des haricots communs)")</f>
        <v xml:space="preserve">   Haricots 'Vigna spp., Phaseolus spp.', secs, écossés, même décortiqués ou cassés (à l'excl. des haricots des espèces 'Vigna mungo L. Hepper ou Vigna radiata L. Wilczek', des haricots 'petits rouges' [haricots Adzuki] et des haricots communs)</v>
      </c>
      <c r="C7015">
        <v>1431603</v>
      </c>
      <c r="D7015">
        <v>4836</v>
      </c>
    </row>
    <row r="7016" spans="1:4" x14ac:dyDescent="0.25">
      <c r="A7016" t="str">
        <f>T("   071340")</f>
        <v xml:space="preserve">   071340</v>
      </c>
      <c r="B7016" t="str">
        <f>T("   Lentilles, séchées, écossées, même décortiquées ou cassées")</f>
        <v xml:space="preserve">   Lentilles, séchées, écossées, même décortiquées ou cassées</v>
      </c>
      <c r="C7016">
        <v>2094807</v>
      </c>
      <c r="D7016">
        <v>5799</v>
      </c>
    </row>
    <row r="7017" spans="1:4" x14ac:dyDescent="0.25">
      <c r="A7017" t="str">
        <f>T("   071390")</f>
        <v xml:space="preserve">   071390</v>
      </c>
      <c r="B7017" t="str">
        <f>T("   Légumes à cosse secs, écossés, même décortiqués ou cassés (à l'excl. des pois, des pois chiches, des haricots, des lentilles, des fèves et des féveroles)")</f>
        <v xml:space="preserve">   Légumes à cosse secs, écossés, même décortiqués ou cassés (à l'excl. des pois, des pois chiches, des haricots, des lentilles, des fèves et des féveroles)</v>
      </c>
      <c r="C7017">
        <v>116003</v>
      </c>
      <c r="D7017">
        <v>272</v>
      </c>
    </row>
    <row r="7018" spans="1:4" x14ac:dyDescent="0.25">
      <c r="A7018" t="str">
        <f>T("   090121")</f>
        <v xml:space="preserve">   090121</v>
      </c>
      <c r="B7018" t="str">
        <f>T("   Café, torréfié, non décaféiné")</f>
        <v xml:space="preserve">   Café, torréfié, non décaféiné</v>
      </c>
      <c r="C7018">
        <v>315149</v>
      </c>
      <c r="D7018">
        <v>1681</v>
      </c>
    </row>
    <row r="7019" spans="1:4" x14ac:dyDescent="0.25">
      <c r="A7019" t="str">
        <f>T("   090122")</f>
        <v xml:space="preserve">   090122</v>
      </c>
      <c r="B7019" t="str">
        <f>T("   Café, torréfié, décaféiné")</f>
        <v xml:space="preserve">   Café, torréfié, décaféiné</v>
      </c>
      <c r="C7019">
        <v>88680</v>
      </c>
      <c r="D7019">
        <v>392</v>
      </c>
    </row>
    <row r="7020" spans="1:4" x14ac:dyDescent="0.25">
      <c r="A7020" t="str">
        <f>T("   090190")</f>
        <v xml:space="preserve">   090190</v>
      </c>
      <c r="B7020" t="str">
        <f>T("   Coques et pellicules de café; succédanés du café contenant du café, quelles que soient les proportions du mélange")</f>
        <v xml:space="preserve">   Coques et pellicules de café; succédanés du café contenant du café, quelles que soient les proportions du mélange</v>
      </c>
      <c r="C7020">
        <v>384439</v>
      </c>
      <c r="D7020">
        <v>948</v>
      </c>
    </row>
    <row r="7021" spans="1:4" x14ac:dyDescent="0.25">
      <c r="A7021" t="str">
        <f>T("   090230")</f>
        <v xml:space="preserve">   090230</v>
      </c>
      <c r="B7021" t="s">
        <v>24</v>
      </c>
      <c r="C7021">
        <v>299774</v>
      </c>
      <c r="D7021">
        <v>900</v>
      </c>
    </row>
    <row r="7022" spans="1:4" x14ac:dyDescent="0.25">
      <c r="A7022" t="str">
        <f>T("   090240")</f>
        <v xml:space="preserve">   090240</v>
      </c>
      <c r="B7022" t="s">
        <v>25</v>
      </c>
      <c r="C7022">
        <v>255014</v>
      </c>
      <c r="D7022">
        <v>1484</v>
      </c>
    </row>
    <row r="7023" spans="1:4" x14ac:dyDescent="0.25">
      <c r="A7023" t="str">
        <f>T("   090412")</f>
        <v xml:space="preserve">   090412</v>
      </c>
      <c r="B7023" t="str">
        <f>T("   Poivre du genre 'Piper', broyé ou pulvérisé")</f>
        <v xml:space="preserve">   Poivre du genre 'Piper', broyé ou pulvérisé</v>
      </c>
      <c r="C7023">
        <v>74616</v>
      </c>
      <c r="D7023">
        <v>237</v>
      </c>
    </row>
    <row r="7024" spans="1:4" x14ac:dyDescent="0.25">
      <c r="A7024" t="str">
        <f>T("   090930")</f>
        <v xml:space="preserve">   090930</v>
      </c>
      <c r="B7024" t="str">
        <f>T("   Graines de cumin")</f>
        <v xml:space="preserve">   Graines de cumin</v>
      </c>
      <c r="C7024">
        <v>1974845</v>
      </c>
      <c r="D7024">
        <v>3570</v>
      </c>
    </row>
    <row r="7025" spans="1:4" x14ac:dyDescent="0.25">
      <c r="A7025" t="str">
        <f>T("   091091")</f>
        <v xml:space="preserve">   091091</v>
      </c>
      <c r="B7025" t="str">
        <f>T("   Mélanges d'épices")</f>
        <v xml:space="preserve">   Mélanges d'épices</v>
      </c>
      <c r="C7025">
        <v>2838974</v>
      </c>
      <c r="D7025">
        <v>7866</v>
      </c>
    </row>
    <row r="7026" spans="1:4" x14ac:dyDescent="0.25">
      <c r="A7026" t="str">
        <f>T("   091099")</f>
        <v xml:space="preserve">   091099</v>
      </c>
      <c r="B7026" t="s">
        <v>26</v>
      </c>
      <c r="C7026">
        <v>1145167</v>
      </c>
      <c r="D7026">
        <v>6340</v>
      </c>
    </row>
    <row r="7027" spans="1:4" x14ac:dyDescent="0.25">
      <c r="A7027" t="str">
        <f>T("   100590")</f>
        <v xml:space="preserve">   100590</v>
      </c>
      <c r="B7027" t="str">
        <f>T("   Maïs (autre que de semence)")</f>
        <v xml:space="preserve">   Maïs (autre que de semence)</v>
      </c>
      <c r="C7027">
        <v>245427</v>
      </c>
      <c r="D7027">
        <v>1358</v>
      </c>
    </row>
    <row r="7028" spans="1:4" x14ac:dyDescent="0.25">
      <c r="A7028" t="str">
        <f>T("   100630")</f>
        <v xml:space="preserve">   100630</v>
      </c>
      <c r="B7028" t="str">
        <f>T("   Riz semi-blanchi ou blanchi, même poli ou glacé")</f>
        <v xml:space="preserve">   Riz semi-blanchi ou blanchi, même poli ou glacé</v>
      </c>
      <c r="C7028">
        <v>1022353</v>
      </c>
      <c r="D7028">
        <v>2810</v>
      </c>
    </row>
    <row r="7029" spans="1:4" x14ac:dyDescent="0.25">
      <c r="A7029" t="str">
        <f>T("   120750")</f>
        <v xml:space="preserve">   120750</v>
      </c>
      <c r="B7029" t="str">
        <f>T("   Graines de moutarde, même concassées")</f>
        <v xml:space="preserve">   Graines de moutarde, même concassées</v>
      </c>
      <c r="C7029">
        <v>438107</v>
      </c>
      <c r="D7029">
        <v>2500</v>
      </c>
    </row>
    <row r="7030" spans="1:4" x14ac:dyDescent="0.25">
      <c r="A7030" t="str">
        <f>T("   120929")</f>
        <v xml:space="preserve">   120929</v>
      </c>
      <c r="B7030" t="s">
        <v>29</v>
      </c>
      <c r="C7030">
        <v>68068</v>
      </c>
      <c r="D7030">
        <v>367</v>
      </c>
    </row>
    <row r="7031" spans="1:4" x14ac:dyDescent="0.25">
      <c r="A7031" t="str">
        <f>T("   150990")</f>
        <v xml:space="preserve">   150990</v>
      </c>
      <c r="B7031"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7031">
        <v>904793</v>
      </c>
      <c r="D7031">
        <v>1251</v>
      </c>
    </row>
    <row r="7032" spans="1:4" x14ac:dyDescent="0.25">
      <c r="A7032" t="str">
        <f>T("   160250")</f>
        <v xml:space="preserve">   160250</v>
      </c>
      <c r="B7032" t="s">
        <v>43</v>
      </c>
      <c r="C7032">
        <v>1099150</v>
      </c>
      <c r="D7032">
        <v>4932</v>
      </c>
    </row>
    <row r="7033" spans="1:4" x14ac:dyDescent="0.25">
      <c r="A7033" t="str">
        <f>T("   160414")</f>
        <v xml:space="preserve">   160414</v>
      </c>
      <c r="B7033"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7033">
        <v>1163066</v>
      </c>
      <c r="D7033">
        <v>5406</v>
      </c>
    </row>
    <row r="7034" spans="1:4" x14ac:dyDescent="0.25">
      <c r="A7034" t="str">
        <f>T("   170490")</f>
        <v xml:space="preserve">   170490</v>
      </c>
      <c r="B7034" t="str">
        <f>T("   Sucreries sans cacao, y.c. le chocolat blanc (à l'excl. des gommes à mâcher)")</f>
        <v xml:space="preserve">   Sucreries sans cacao, y.c. le chocolat blanc (à l'excl. des gommes à mâcher)</v>
      </c>
      <c r="C7034">
        <v>3912455</v>
      </c>
      <c r="D7034">
        <v>2706</v>
      </c>
    </row>
    <row r="7035" spans="1:4" x14ac:dyDescent="0.25">
      <c r="A7035" t="str">
        <f>T("   180631")</f>
        <v xml:space="preserve">   180631</v>
      </c>
      <c r="B7035"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7035">
        <v>57043</v>
      </c>
      <c r="D7035">
        <v>433</v>
      </c>
    </row>
    <row r="7036" spans="1:4" x14ac:dyDescent="0.25">
      <c r="A7036" t="str">
        <f>T("   180632")</f>
        <v xml:space="preserve">   180632</v>
      </c>
      <c r="B7036"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7036">
        <v>825198</v>
      </c>
      <c r="D7036">
        <v>2480</v>
      </c>
    </row>
    <row r="7037" spans="1:4" x14ac:dyDescent="0.25">
      <c r="A7037" t="str">
        <f>T("   180690")</f>
        <v xml:space="preserve">   180690</v>
      </c>
      <c r="B7037"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7037">
        <v>258849</v>
      </c>
      <c r="D7037">
        <v>1402</v>
      </c>
    </row>
    <row r="7038" spans="1:4" x14ac:dyDescent="0.25">
      <c r="A7038" t="str">
        <f>T("   190120")</f>
        <v xml:space="preserve">   190120</v>
      </c>
      <c r="B7038" t="s">
        <v>49</v>
      </c>
      <c r="C7038">
        <v>8329665</v>
      </c>
      <c r="D7038">
        <v>21295</v>
      </c>
    </row>
    <row r="7039" spans="1:4" x14ac:dyDescent="0.25">
      <c r="A7039" t="str">
        <f>T("   190430")</f>
        <v xml:space="preserve">   190430</v>
      </c>
      <c r="B7039" t="str">
        <f>T("   Bulgur de blé sous forme de grains travaillés, obtenu par cuisson des grains de blé dur")</f>
        <v xml:space="preserve">   Bulgur de blé sous forme de grains travaillés, obtenu par cuisson des grains de blé dur</v>
      </c>
      <c r="C7039">
        <v>11984</v>
      </c>
      <c r="D7039">
        <v>28</v>
      </c>
    </row>
    <row r="7040" spans="1:4" x14ac:dyDescent="0.25">
      <c r="A7040" t="str">
        <f>T("   190490")</f>
        <v xml:space="preserve">   190490</v>
      </c>
      <c r="B7040" t="s">
        <v>51</v>
      </c>
      <c r="C7040">
        <v>4235537</v>
      </c>
      <c r="D7040">
        <v>11000</v>
      </c>
    </row>
    <row r="7041" spans="1:4" x14ac:dyDescent="0.25">
      <c r="A7041" t="str">
        <f>T("   190531")</f>
        <v xml:space="preserve">   190531</v>
      </c>
      <c r="B7041" t="str">
        <f>T("   Biscuits additionnés d'édulcorants")</f>
        <v xml:space="preserve">   Biscuits additionnés d'édulcorants</v>
      </c>
      <c r="C7041">
        <v>10151723</v>
      </c>
      <c r="D7041">
        <v>26998.2</v>
      </c>
    </row>
    <row r="7042" spans="1:4" x14ac:dyDescent="0.25">
      <c r="A7042" t="str">
        <f>T("   190532")</f>
        <v xml:space="preserve">   190532</v>
      </c>
      <c r="B7042" t="str">
        <f>T("   GAUFRES ET GAUFRETTES")</f>
        <v xml:space="preserve">   GAUFRES ET GAUFRETTES</v>
      </c>
      <c r="C7042">
        <v>4180412</v>
      </c>
      <c r="D7042">
        <v>12359</v>
      </c>
    </row>
    <row r="7043" spans="1:4" x14ac:dyDescent="0.25">
      <c r="A7043" t="str">
        <f>T("   190590")</f>
        <v xml:space="preserve">   190590</v>
      </c>
      <c r="B7043" t="s">
        <v>52</v>
      </c>
      <c r="C7043">
        <v>5867900</v>
      </c>
      <c r="D7043">
        <v>23168</v>
      </c>
    </row>
    <row r="7044" spans="1:4" x14ac:dyDescent="0.25">
      <c r="A7044" t="str">
        <f>T("   200110")</f>
        <v xml:space="preserve">   200110</v>
      </c>
      <c r="B7044" t="str">
        <f>T("   Concombres et cornichons, préparés ou conservés au vinaigre ou à l'acide acétique")</f>
        <v xml:space="preserve">   Concombres et cornichons, préparés ou conservés au vinaigre ou à l'acide acétique</v>
      </c>
      <c r="C7044">
        <v>222898</v>
      </c>
      <c r="D7044">
        <v>1395</v>
      </c>
    </row>
    <row r="7045" spans="1:4" x14ac:dyDescent="0.25">
      <c r="A7045" t="str">
        <f>T("   200190")</f>
        <v xml:space="preserve">   200190</v>
      </c>
      <c r="B7045"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7045">
        <v>61836</v>
      </c>
      <c r="D7045">
        <v>372</v>
      </c>
    </row>
    <row r="7046" spans="1:4" x14ac:dyDescent="0.25">
      <c r="A7046" t="str">
        <f>T("   200520")</f>
        <v xml:space="preserve">   200520</v>
      </c>
      <c r="B7046" t="str">
        <f>T("   POMMES DE TERRE, PRÉPARÉES OU CONSERVÉES AUTREMENT QU'AU VINAIGRE OU À L'ACIDE ACÉTIQUE, NON-CONGELÉES")</f>
        <v xml:space="preserve">   POMMES DE TERRE, PRÉPARÉES OU CONSERVÉES AUTREMENT QU'AU VINAIGRE OU À L'ACIDE ACÉTIQUE, NON-CONGELÉES</v>
      </c>
      <c r="C7046">
        <v>11519261</v>
      </c>
      <c r="D7046">
        <v>9600</v>
      </c>
    </row>
    <row r="7047" spans="1:4" x14ac:dyDescent="0.25">
      <c r="A7047" t="str">
        <f>T("   200559")</f>
        <v xml:space="preserve">   200559</v>
      </c>
      <c r="B7047"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7047">
        <v>1074462</v>
      </c>
      <c r="D7047">
        <v>8025</v>
      </c>
    </row>
    <row r="7048" spans="1:4" x14ac:dyDescent="0.25">
      <c r="A7048" t="str">
        <f>T("   200590")</f>
        <v xml:space="preserve">   200590</v>
      </c>
      <c r="B7048" t="s">
        <v>53</v>
      </c>
      <c r="C7048">
        <v>9221002</v>
      </c>
      <c r="D7048">
        <v>24018</v>
      </c>
    </row>
    <row r="7049" spans="1:4" x14ac:dyDescent="0.25">
      <c r="A7049" t="str">
        <f>T("   200979")</f>
        <v xml:space="preserve">   200979</v>
      </c>
      <c r="B7049"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7049">
        <v>250619</v>
      </c>
      <c r="D7049">
        <v>2000</v>
      </c>
    </row>
    <row r="7050" spans="1:4" x14ac:dyDescent="0.25">
      <c r="A7050" t="str">
        <f>T("   200980")</f>
        <v xml:space="preserve">   200980</v>
      </c>
      <c r="B705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7050">
        <v>14640967</v>
      </c>
      <c r="D7050">
        <v>70450</v>
      </c>
    </row>
    <row r="7051" spans="1:4" x14ac:dyDescent="0.25">
      <c r="A7051" t="str">
        <f>T("   200990")</f>
        <v xml:space="preserve">   200990</v>
      </c>
      <c r="B705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7051">
        <v>28845734</v>
      </c>
      <c r="D7051">
        <v>124744.5</v>
      </c>
    </row>
    <row r="7052" spans="1:4" x14ac:dyDescent="0.25">
      <c r="A7052" t="str">
        <f>T("   210111")</f>
        <v xml:space="preserve">   210111</v>
      </c>
      <c r="B7052" t="str">
        <f>T("   Extraits, essences et concentrés de café")</f>
        <v xml:space="preserve">   Extraits, essences et concentrés de café</v>
      </c>
      <c r="C7052">
        <v>2103579</v>
      </c>
      <c r="D7052">
        <v>4739</v>
      </c>
    </row>
    <row r="7053" spans="1:4" x14ac:dyDescent="0.25">
      <c r="A7053" t="str">
        <f>T("   210210")</f>
        <v xml:space="preserve">   210210</v>
      </c>
      <c r="B7053" t="str">
        <f>T("   Levures vivantes")</f>
        <v xml:space="preserve">   Levures vivantes</v>
      </c>
      <c r="C7053">
        <v>77655</v>
      </c>
      <c r="D7053">
        <v>600</v>
      </c>
    </row>
    <row r="7054" spans="1:4" x14ac:dyDescent="0.25">
      <c r="A7054" t="str">
        <f>T("   210320")</f>
        <v xml:space="preserve">   210320</v>
      </c>
      <c r="B7054" t="str">
        <f>T("   Tomato ketchup et autres sauces tomates")</f>
        <v xml:space="preserve">   Tomato ketchup et autres sauces tomates</v>
      </c>
      <c r="C7054">
        <v>3744328</v>
      </c>
      <c r="D7054">
        <v>11916.5</v>
      </c>
    </row>
    <row r="7055" spans="1:4" x14ac:dyDescent="0.25">
      <c r="A7055" t="str">
        <f>T("   210390")</f>
        <v xml:space="preserve">   210390</v>
      </c>
      <c r="B7055"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7055">
        <v>8654080</v>
      </c>
      <c r="D7055">
        <v>8500</v>
      </c>
    </row>
    <row r="7056" spans="1:4" x14ac:dyDescent="0.25">
      <c r="A7056" t="str">
        <f>T("   210690")</f>
        <v xml:space="preserve">   210690</v>
      </c>
      <c r="B7056" t="str">
        <f>T("   Préparations alimentaires, n.d.a.")</f>
        <v xml:space="preserve">   Préparations alimentaires, n.d.a.</v>
      </c>
      <c r="C7056">
        <v>5622617</v>
      </c>
      <c r="D7056">
        <v>17863</v>
      </c>
    </row>
    <row r="7057" spans="1:4" x14ac:dyDescent="0.25">
      <c r="A7057" t="str">
        <f>T("   220110")</f>
        <v xml:space="preserve">   220110</v>
      </c>
      <c r="B7057" t="str">
        <f>T("   Eaux minérales et eaux gazéifiées, non additionnées de sucre ou d'autres édulcorants ni aromatisées")</f>
        <v xml:space="preserve">   Eaux minérales et eaux gazéifiées, non additionnées de sucre ou d'autres édulcorants ni aromatisées</v>
      </c>
      <c r="C7057">
        <v>15740800</v>
      </c>
      <c r="D7057">
        <v>176269</v>
      </c>
    </row>
    <row r="7058" spans="1:4" x14ac:dyDescent="0.25">
      <c r="A7058" t="str">
        <f>T("   220190")</f>
        <v xml:space="preserve">   220190</v>
      </c>
      <c r="B7058"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7058">
        <v>6274551</v>
      </c>
      <c r="D7058">
        <v>120081</v>
      </c>
    </row>
    <row r="7059" spans="1:4" x14ac:dyDescent="0.25">
      <c r="A7059" t="str">
        <f>T("   220210")</f>
        <v xml:space="preserve">   220210</v>
      </c>
      <c r="B7059"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7059">
        <v>393067</v>
      </c>
      <c r="D7059">
        <v>5320</v>
      </c>
    </row>
    <row r="7060" spans="1:4" x14ac:dyDescent="0.25">
      <c r="A7060" t="str">
        <f>T("   220290")</f>
        <v xml:space="preserve">   220290</v>
      </c>
      <c r="B7060" t="str">
        <f>T("   BOISSONS NON-ALCOOLIQUES (À L'EXCL. DES EAUX, DES JUS DE FRUITS OU DE LÉGUMES AINSI QUE DU LAIT)")</f>
        <v xml:space="preserve">   BOISSONS NON-ALCOOLIQUES (À L'EXCL. DES EAUX, DES JUS DE FRUITS OU DE LÉGUMES AINSI QUE DU LAIT)</v>
      </c>
      <c r="C7060">
        <v>48220741</v>
      </c>
      <c r="D7060">
        <v>291015</v>
      </c>
    </row>
    <row r="7061" spans="1:4" x14ac:dyDescent="0.25">
      <c r="A7061" t="str">
        <f>T("   220300")</f>
        <v xml:space="preserve">   220300</v>
      </c>
      <c r="B7061" t="str">
        <f>T("   Bières de malt")</f>
        <v xml:space="preserve">   Bières de malt</v>
      </c>
      <c r="C7061">
        <v>2759215</v>
      </c>
      <c r="D7061">
        <v>11855</v>
      </c>
    </row>
    <row r="7062" spans="1:4" x14ac:dyDescent="0.25">
      <c r="A7062" t="str">
        <f>T("   220830")</f>
        <v xml:space="preserve">   220830</v>
      </c>
      <c r="B7062" t="str">
        <f>T("   Whiskies")</f>
        <v xml:space="preserve">   Whiskies</v>
      </c>
      <c r="C7062">
        <v>108980</v>
      </c>
      <c r="D7062">
        <v>250</v>
      </c>
    </row>
    <row r="7063" spans="1:4" x14ac:dyDescent="0.25">
      <c r="A7063" t="str">
        <f>T("   220860")</f>
        <v xml:space="preserve">   220860</v>
      </c>
      <c r="B7063" t="str">
        <f>T("   VODKA")</f>
        <v xml:space="preserve">   VODKA</v>
      </c>
      <c r="C7063">
        <v>15068976</v>
      </c>
      <c r="D7063">
        <v>15809</v>
      </c>
    </row>
    <row r="7064" spans="1:4" x14ac:dyDescent="0.25">
      <c r="A7064" t="str">
        <f>T("   220890")</f>
        <v xml:space="preserve">   220890</v>
      </c>
      <c r="B7064" t="s">
        <v>62</v>
      </c>
      <c r="C7064">
        <v>181587</v>
      </c>
      <c r="D7064">
        <v>452</v>
      </c>
    </row>
    <row r="7065" spans="1:4" x14ac:dyDescent="0.25">
      <c r="A7065" t="str">
        <f>T("   220900")</f>
        <v xml:space="preserve">   220900</v>
      </c>
      <c r="B7065" t="str">
        <f>T("   Vinaigres comestibles et succédanés de vinaigre comestibles obtenus à partir d'acide acétique")</f>
        <v xml:space="preserve">   Vinaigres comestibles et succédanés de vinaigre comestibles obtenus à partir d'acide acétique</v>
      </c>
      <c r="C7065">
        <v>1223741</v>
      </c>
      <c r="D7065">
        <v>3811</v>
      </c>
    </row>
    <row r="7066" spans="1:4" x14ac:dyDescent="0.25">
      <c r="A7066" t="str">
        <f>T("   250100")</f>
        <v xml:space="preserve">   250100</v>
      </c>
      <c r="B7066" t="s">
        <v>65</v>
      </c>
      <c r="C7066">
        <v>1182000</v>
      </c>
      <c r="D7066">
        <v>2875</v>
      </c>
    </row>
    <row r="7067" spans="1:4" x14ac:dyDescent="0.25">
      <c r="A7067" t="str">
        <f>T("   250590")</f>
        <v xml:space="preserve">   250590</v>
      </c>
      <c r="B7067"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7067">
        <v>6711</v>
      </c>
      <c r="D7067">
        <v>62</v>
      </c>
    </row>
    <row r="7068" spans="1:4" x14ac:dyDescent="0.25">
      <c r="A7068" t="str">
        <f>T("   271019")</f>
        <v xml:space="preserve">   271019</v>
      </c>
      <c r="B7068" t="str">
        <f>T("   Huiles moyennes et préparations, de pétrole ou de minéraux bitumineux, n.d.a.")</f>
        <v xml:space="preserve">   Huiles moyennes et préparations, de pétrole ou de minéraux bitumineux, n.d.a.</v>
      </c>
      <c r="C7068">
        <v>27580361</v>
      </c>
      <c r="D7068">
        <v>55949</v>
      </c>
    </row>
    <row r="7069" spans="1:4" x14ac:dyDescent="0.25">
      <c r="A7069" t="str">
        <f>T("   280440")</f>
        <v xml:space="preserve">   280440</v>
      </c>
      <c r="B7069" t="str">
        <f>T("   Oxygène")</f>
        <v xml:space="preserve">   Oxygène</v>
      </c>
      <c r="C7069">
        <v>3604774</v>
      </c>
      <c r="D7069">
        <v>11250</v>
      </c>
    </row>
    <row r="7070" spans="1:4" x14ac:dyDescent="0.25">
      <c r="A7070" t="str">
        <f>T("   320500")</f>
        <v xml:space="preserve">   320500</v>
      </c>
      <c r="B7070" t="s">
        <v>89</v>
      </c>
      <c r="C7070">
        <v>2942768</v>
      </c>
      <c r="D7070">
        <v>6972</v>
      </c>
    </row>
    <row r="7071" spans="1:4" x14ac:dyDescent="0.25">
      <c r="A7071" t="str">
        <f>T("   320890")</f>
        <v xml:space="preserve">   320890</v>
      </c>
      <c r="B7071" t="s">
        <v>93</v>
      </c>
      <c r="C7071">
        <v>13043143</v>
      </c>
      <c r="D7071">
        <v>40232</v>
      </c>
    </row>
    <row r="7072" spans="1:4" x14ac:dyDescent="0.25">
      <c r="A7072" t="str">
        <f>T("   321410")</f>
        <v xml:space="preserve">   321410</v>
      </c>
      <c r="B7072" t="str">
        <f>T("   Mastic de vitrier, ciments de résine et autres mastics; enduits utilisés en peinture")</f>
        <v xml:space="preserve">   Mastic de vitrier, ciments de résine et autres mastics; enduits utilisés en peinture</v>
      </c>
      <c r="C7072">
        <v>2812769</v>
      </c>
      <c r="D7072">
        <v>9568</v>
      </c>
    </row>
    <row r="7073" spans="1:4" x14ac:dyDescent="0.25">
      <c r="A7073" t="str">
        <f>T("   321490")</f>
        <v xml:space="preserve">   321490</v>
      </c>
      <c r="B7073" t="str">
        <f>T("   Enduits non réfractaires des types utilisés en maçonnerie")</f>
        <v xml:space="preserve">   Enduits non réfractaires des types utilisés en maçonnerie</v>
      </c>
      <c r="C7073">
        <v>2051685</v>
      </c>
      <c r="D7073">
        <v>55</v>
      </c>
    </row>
    <row r="7074" spans="1:4" x14ac:dyDescent="0.25">
      <c r="A7074" t="str">
        <f>T("   321519")</f>
        <v xml:space="preserve">   321519</v>
      </c>
      <c r="B7074" t="str">
        <f>T("   Encres d'imprimerie, même concentrées ou sous formes solides (à l'excl. des encres noires)")</f>
        <v xml:space="preserve">   Encres d'imprimerie, même concentrées ou sous formes solides (à l'excl. des encres noires)</v>
      </c>
      <c r="C7074">
        <v>59918</v>
      </c>
      <c r="D7074">
        <v>2614</v>
      </c>
    </row>
    <row r="7075" spans="1:4" x14ac:dyDescent="0.25">
      <c r="A7075" t="str">
        <f>T("   321590")</f>
        <v xml:space="preserve">   321590</v>
      </c>
      <c r="B7075" t="str">
        <f>T("   Encres à écrire et à dessiner, même concentrées ou sous formes solides")</f>
        <v xml:space="preserve">   Encres à écrire et à dessiner, même concentrées ou sous formes solides</v>
      </c>
      <c r="C7075">
        <v>2346418</v>
      </c>
      <c r="D7075">
        <v>440</v>
      </c>
    </row>
    <row r="7076" spans="1:4" x14ac:dyDescent="0.25">
      <c r="A7076" t="str">
        <f>T("   330510")</f>
        <v xml:space="preserve">   330510</v>
      </c>
      <c r="B7076" t="str">
        <f>T("   Shampooings")</f>
        <v xml:space="preserve">   Shampooings</v>
      </c>
      <c r="C7076">
        <v>228171</v>
      </c>
      <c r="D7076">
        <v>785</v>
      </c>
    </row>
    <row r="7077" spans="1:4" x14ac:dyDescent="0.25">
      <c r="A7077" t="str">
        <f>T("   340119")</f>
        <v xml:space="preserve">   340119</v>
      </c>
      <c r="B7077" t="s">
        <v>99</v>
      </c>
      <c r="C7077">
        <v>407448</v>
      </c>
      <c r="D7077">
        <v>4500</v>
      </c>
    </row>
    <row r="7078" spans="1:4" x14ac:dyDescent="0.25">
      <c r="A7078" t="str">
        <f>T("   340120")</f>
        <v xml:space="preserve">   340120</v>
      </c>
      <c r="B7078" t="str">
        <f>T("   Savons en flocons, en paillettes, en granulés ou en poudres et savons liquides ou pâteux")</f>
        <v xml:space="preserve">   Savons en flocons, en paillettes, en granulés ou en poudres et savons liquides ou pâteux</v>
      </c>
      <c r="C7078">
        <v>62234</v>
      </c>
      <c r="D7078">
        <v>454</v>
      </c>
    </row>
    <row r="7079" spans="1:4" x14ac:dyDescent="0.25">
      <c r="A7079" t="str">
        <f>T("   340220")</f>
        <v xml:space="preserve">   340220</v>
      </c>
      <c r="B7079" t="s">
        <v>100</v>
      </c>
      <c r="C7079">
        <v>6689537</v>
      </c>
      <c r="D7079">
        <v>20514</v>
      </c>
    </row>
    <row r="7080" spans="1:4" x14ac:dyDescent="0.25">
      <c r="A7080" t="str">
        <f>T("   340530")</f>
        <v xml:space="preserve">   340530</v>
      </c>
      <c r="B7080" t="s">
        <v>107</v>
      </c>
      <c r="C7080">
        <v>33142</v>
      </c>
      <c r="D7080">
        <v>313</v>
      </c>
    </row>
    <row r="7081" spans="1:4" x14ac:dyDescent="0.25">
      <c r="A7081" t="str">
        <f>T("   340590")</f>
        <v xml:space="preserve">   340590</v>
      </c>
      <c r="B7081"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7081">
        <v>338584</v>
      </c>
      <c r="D7081">
        <v>330</v>
      </c>
    </row>
    <row r="7082" spans="1:4" x14ac:dyDescent="0.25">
      <c r="A7082" t="str">
        <f>T("   350300")</f>
        <v xml:space="preserve">   350300</v>
      </c>
      <c r="B7082" t="s">
        <v>109</v>
      </c>
      <c r="C7082">
        <v>757685</v>
      </c>
      <c r="D7082">
        <v>2099</v>
      </c>
    </row>
    <row r="7083" spans="1:4" x14ac:dyDescent="0.25">
      <c r="A7083" t="str">
        <f>T("   380840")</f>
        <v xml:space="preserve">   380840</v>
      </c>
      <c r="B7083"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7083">
        <v>472725</v>
      </c>
      <c r="D7083">
        <v>2401</v>
      </c>
    </row>
    <row r="7084" spans="1:4" x14ac:dyDescent="0.25">
      <c r="A7084" t="str">
        <f>T("   381400")</f>
        <v xml:space="preserve">   381400</v>
      </c>
      <c r="B7084"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7084">
        <v>4510794</v>
      </c>
      <c r="D7084">
        <v>6033</v>
      </c>
    </row>
    <row r="7085" spans="1:4" x14ac:dyDescent="0.25">
      <c r="A7085" t="str">
        <f>T("   382490")</f>
        <v xml:space="preserve">   382490</v>
      </c>
      <c r="B7085"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7085">
        <v>8611790</v>
      </c>
      <c r="D7085">
        <v>31361</v>
      </c>
    </row>
    <row r="7086" spans="1:4" x14ac:dyDescent="0.25">
      <c r="A7086" t="str">
        <f>T("   391739")</f>
        <v xml:space="preserve">   391739</v>
      </c>
      <c r="B7086"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7086">
        <v>3579574</v>
      </c>
      <c r="D7086">
        <v>442</v>
      </c>
    </row>
    <row r="7087" spans="1:4" x14ac:dyDescent="0.25">
      <c r="A7087" t="str">
        <f>T("   391910")</f>
        <v xml:space="preserve">   391910</v>
      </c>
      <c r="B7087"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7087">
        <v>239675</v>
      </c>
      <c r="D7087">
        <v>2614</v>
      </c>
    </row>
    <row r="7088" spans="1:4" x14ac:dyDescent="0.25">
      <c r="A7088" t="str">
        <f>T("   391990")</f>
        <v xml:space="preserve">   391990</v>
      </c>
      <c r="B7088" t="s">
        <v>127</v>
      </c>
      <c r="C7088">
        <v>1771198</v>
      </c>
      <c r="D7088">
        <v>3500</v>
      </c>
    </row>
    <row r="7089" spans="1:4" x14ac:dyDescent="0.25">
      <c r="A7089" t="str">
        <f>T("   392010")</f>
        <v xml:space="preserve">   392010</v>
      </c>
      <c r="B7089" t="s">
        <v>128</v>
      </c>
      <c r="C7089">
        <v>432887</v>
      </c>
      <c r="D7089">
        <v>2832</v>
      </c>
    </row>
    <row r="7090" spans="1:4" x14ac:dyDescent="0.25">
      <c r="A7090" t="str">
        <f>T("   392099")</f>
        <v xml:space="preserve">   392099</v>
      </c>
      <c r="B7090" t="s">
        <v>137</v>
      </c>
      <c r="C7090">
        <v>536584</v>
      </c>
      <c r="D7090">
        <v>1039</v>
      </c>
    </row>
    <row r="7091" spans="1:4" x14ac:dyDescent="0.25">
      <c r="A7091" t="str">
        <f>T("   392112")</f>
        <v xml:space="preserve">   392112</v>
      </c>
      <c r="B7091" t="s">
        <v>138</v>
      </c>
      <c r="C7091">
        <v>5760828</v>
      </c>
      <c r="D7091">
        <v>6863</v>
      </c>
    </row>
    <row r="7092" spans="1:4" x14ac:dyDescent="0.25">
      <c r="A7092" t="str">
        <f>T("   392329")</f>
        <v xml:space="preserve">   392329</v>
      </c>
      <c r="B7092" t="str">
        <f>T("   Sacs, sachets, pochettes et cornets, en matières plastiques (autres que les polymères de l'éthylène)")</f>
        <v xml:space="preserve">   Sacs, sachets, pochettes et cornets, en matières plastiques (autres que les polymères de l'éthylène)</v>
      </c>
      <c r="C7092">
        <v>7226102</v>
      </c>
      <c r="D7092">
        <v>8705</v>
      </c>
    </row>
    <row r="7093" spans="1:4" x14ac:dyDescent="0.25">
      <c r="A7093" t="str">
        <f>T("   392390")</f>
        <v xml:space="preserve">   392390</v>
      </c>
      <c r="B7093" t="s">
        <v>142</v>
      </c>
      <c r="C7093">
        <v>348008</v>
      </c>
      <c r="D7093">
        <v>4126</v>
      </c>
    </row>
    <row r="7094" spans="1:4" x14ac:dyDescent="0.25">
      <c r="A7094" t="str">
        <f>T("   392410")</f>
        <v xml:space="preserve">   392410</v>
      </c>
      <c r="B7094" t="str">
        <f>T("   Vaisselle et autres articles pour le service de la table ou de la cuisine, en matières plastiques")</f>
        <v xml:space="preserve">   Vaisselle et autres articles pour le service de la table ou de la cuisine, en matières plastiques</v>
      </c>
      <c r="C7094">
        <v>1512970</v>
      </c>
      <c r="D7094">
        <v>7246</v>
      </c>
    </row>
    <row r="7095" spans="1:4" x14ac:dyDescent="0.25">
      <c r="A7095" t="str">
        <f>T("   392490")</f>
        <v xml:space="preserve">   392490</v>
      </c>
      <c r="B7095" t="s">
        <v>143</v>
      </c>
      <c r="C7095">
        <v>935400</v>
      </c>
      <c r="D7095">
        <v>8698</v>
      </c>
    </row>
    <row r="7096" spans="1:4" x14ac:dyDescent="0.25">
      <c r="A7096" t="str">
        <f>T("   392510")</f>
        <v xml:space="preserve">   392510</v>
      </c>
      <c r="B7096" t="str">
        <f>T("   Réservoirs, foudres, cuves et récipients analogues, en matières plastiques, d'une contenance &gt; 300 l")</f>
        <v xml:space="preserve">   Réservoirs, foudres, cuves et récipients analogues, en matières plastiques, d'une contenance &gt; 300 l</v>
      </c>
      <c r="C7096">
        <v>8005</v>
      </c>
      <c r="D7096">
        <v>1895</v>
      </c>
    </row>
    <row r="7097" spans="1:4" x14ac:dyDescent="0.25">
      <c r="A7097" t="str">
        <f>T("   392590")</f>
        <v xml:space="preserve">   392590</v>
      </c>
      <c r="B7097" t="s">
        <v>144</v>
      </c>
      <c r="C7097">
        <v>238237</v>
      </c>
      <c r="D7097">
        <v>2096</v>
      </c>
    </row>
    <row r="7098" spans="1:4" x14ac:dyDescent="0.25">
      <c r="A7098" t="str">
        <f>T("   392690")</f>
        <v xml:space="preserve">   392690</v>
      </c>
      <c r="B7098" t="str">
        <f>T("   Ouvrages en matières plastiques et ouvrages en autres matières du n° 3901 à 3914, n.d.a.")</f>
        <v xml:space="preserve">   Ouvrages en matières plastiques et ouvrages en autres matières du n° 3901 à 3914, n.d.a.</v>
      </c>
      <c r="C7098">
        <v>4150691</v>
      </c>
      <c r="D7098">
        <v>7775</v>
      </c>
    </row>
    <row r="7099" spans="1:4" x14ac:dyDescent="0.25">
      <c r="A7099" t="str">
        <f>T("   400911")</f>
        <v xml:space="preserve">   400911</v>
      </c>
      <c r="B7099"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7099">
        <v>54167</v>
      </c>
      <c r="D7099">
        <v>300</v>
      </c>
    </row>
    <row r="7100" spans="1:4" x14ac:dyDescent="0.25">
      <c r="A7100" t="str">
        <f>T("   400941")</f>
        <v xml:space="preserve">   400941</v>
      </c>
      <c r="B7100"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7100">
        <v>387933</v>
      </c>
      <c r="D7100">
        <v>10</v>
      </c>
    </row>
    <row r="7101" spans="1:4" x14ac:dyDescent="0.25">
      <c r="A7101" t="str">
        <f>T("   401039")</f>
        <v xml:space="preserve">   401039</v>
      </c>
      <c r="B7101" t="s">
        <v>151</v>
      </c>
      <c r="C7101">
        <v>14381</v>
      </c>
      <c r="D7101">
        <v>353.5</v>
      </c>
    </row>
    <row r="7102" spans="1:4" x14ac:dyDescent="0.25">
      <c r="A7102" t="str">
        <f>T("   401199")</f>
        <v xml:space="preserve">   401199</v>
      </c>
      <c r="B7102" t="s">
        <v>152</v>
      </c>
      <c r="C7102">
        <v>335094</v>
      </c>
      <c r="D7102">
        <v>373</v>
      </c>
    </row>
    <row r="7103" spans="1:4" x14ac:dyDescent="0.25">
      <c r="A7103" t="str">
        <f>T("   420229")</f>
        <v xml:space="preserve">   420229</v>
      </c>
      <c r="B7103"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7103">
        <v>246386</v>
      </c>
      <c r="D7103">
        <v>112</v>
      </c>
    </row>
    <row r="7104" spans="1:4" x14ac:dyDescent="0.25">
      <c r="A7104" t="str">
        <f>T("   440200")</f>
        <v xml:space="preserve">   440200</v>
      </c>
      <c r="B7104" t="str">
        <f>T("   Charbon de bois - y.c. le charbon de coques ou de noix -, même aggloméré (à l'excl. des fusains et du charbon de bois conditionné comme médicament, mélangé d'encens ou activé)")</f>
        <v xml:space="preserve">   Charbon de bois - y.c. le charbon de coques ou de noix -, même aggloméré (à l'excl. des fusains et du charbon de bois conditionné comme médicament, mélangé d'encens ou activé)</v>
      </c>
      <c r="C7104">
        <v>33056</v>
      </c>
      <c r="D7104">
        <v>241</v>
      </c>
    </row>
    <row r="7105" spans="1:4" x14ac:dyDescent="0.25">
      <c r="A7105" t="str">
        <f>T("   441039")</f>
        <v xml:space="preserve">   441039</v>
      </c>
      <c r="B7105" t="s">
        <v>170</v>
      </c>
      <c r="C7105">
        <v>25435514</v>
      </c>
      <c r="D7105">
        <v>163939</v>
      </c>
    </row>
    <row r="7106" spans="1:4" x14ac:dyDescent="0.25">
      <c r="A7106" t="str">
        <f>T("   441199")</f>
        <v xml:space="preserve">   441199</v>
      </c>
      <c r="B7106" t="s">
        <v>175</v>
      </c>
      <c r="C7106">
        <v>11969657</v>
      </c>
      <c r="D7106">
        <v>77148</v>
      </c>
    </row>
    <row r="7107" spans="1:4" x14ac:dyDescent="0.25">
      <c r="A7107" t="str">
        <f>T("   480256")</f>
        <v xml:space="preserve">   480256</v>
      </c>
      <c r="B7107" t="s">
        <v>188</v>
      </c>
      <c r="C7107">
        <v>43487634</v>
      </c>
      <c r="D7107">
        <v>74371</v>
      </c>
    </row>
    <row r="7108" spans="1:4" x14ac:dyDescent="0.25">
      <c r="A7108" t="str">
        <f>T("   480300")</f>
        <v xml:space="preserve">   480300</v>
      </c>
      <c r="B7108" t="s">
        <v>193</v>
      </c>
      <c r="C7108">
        <v>50680515</v>
      </c>
      <c r="D7108">
        <v>177970</v>
      </c>
    </row>
    <row r="7109" spans="1:4" x14ac:dyDescent="0.25">
      <c r="A7109" t="str">
        <f>T("   480530")</f>
        <v xml:space="preserve">   480530</v>
      </c>
      <c r="B7109" t="str">
        <f>T("   PAPIER SULFITE D'EMBALLAGE, NON-COUCHÉ NI ENDUIT, EN ROULEAUX D'UNE LARGEUR &gt; 36 CM OU EN FEUILLES DE FORME CARRÉE OU RECTANGULAIRE DONT AU MOINS UN CÔTÉ &gt; 36 CM ET L'AUTRE &gt; 15 CM À L'ÉTAT NON-PLIÉ")</f>
        <v xml:space="preserve">   PAPIER SULFITE D'EMBALLAGE, NON-COUCHÉ NI ENDUIT, EN ROULEAUX D'UNE LARGEUR &gt; 36 CM OU EN FEUILLES DE FORME CARRÉE OU RECTANGULAIRE DONT AU MOINS UN CÔTÉ &gt; 36 CM ET L'AUTRE &gt; 15 CM À L'ÉTAT NON-PLIÉ</v>
      </c>
      <c r="C7109">
        <v>249265</v>
      </c>
      <c r="D7109">
        <v>150</v>
      </c>
    </row>
    <row r="7110" spans="1:4" x14ac:dyDescent="0.25">
      <c r="A7110" t="str">
        <f>T("   480592")</f>
        <v xml:space="preserve">   480592</v>
      </c>
      <c r="B7110" t="str">
        <f>T("   Papiers et cartons, non couchés ni enduits, en rouleaux d'une largeur &gt; 36 cm ou en feuilles de forme carrée ou rectangulaire dont au moins un coté &gt; 36 cm et l'autre &gt; 15 cm à l'état non plié, d'un poids &gt; 150 g/m² mais &lt; 225 g/m², n.d.a.")</f>
        <v xml:space="preserve">   Papiers et cartons, non couchés ni enduits, en rouleaux d'une largeur &gt; 36 cm ou en feuilles de forme carrée ou rectangulaire dont au moins un coté &gt; 36 cm et l'autre &gt; 15 cm à l'état non plié, d'un poids &gt; 150 g/m² mais &lt; 225 g/m², n.d.a.</v>
      </c>
      <c r="C7110">
        <v>3002543</v>
      </c>
      <c r="D7110">
        <v>23779</v>
      </c>
    </row>
    <row r="7111" spans="1:4" x14ac:dyDescent="0.25">
      <c r="A7111" t="str">
        <f>T("   481099")</f>
        <v xml:space="preserve">   481099</v>
      </c>
      <c r="B7111" t="s">
        <v>208</v>
      </c>
      <c r="C7111">
        <v>892499</v>
      </c>
      <c r="D7111">
        <v>3277</v>
      </c>
    </row>
    <row r="7112" spans="1:4" x14ac:dyDescent="0.25">
      <c r="A7112" t="str">
        <f>T("   481141")</f>
        <v xml:space="preserve">   481141</v>
      </c>
      <c r="B7112"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7112">
        <v>79357</v>
      </c>
      <c r="D7112">
        <v>42</v>
      </c>
    </row>
    <row r="7113" spans="1:4" x14ac:dyDescent="0.25">
      <c r="A7113" t="str">
        <f>T("   481710")</f>
        <v xml:space="preserve">   481710</v>
      </c>
      <c r="B7113" t="str">
        <f>T("   Enveloppes, en papier ou en carton")</f>
        <v xml:space="preserve">   Enveloppes, en papier ou en carton</v>
      </c>
      <c r="C7113">
        <v>746312</v>
      </c>
      <c r="D7113">
        <v>2200</v>
      </c>
    </row>
    <row r="7114" spans="1:4" x14ac:dyDescent="0.25">
      <c r="A7114" t="str">
        <f>T("   481820")</f>
        <v xml:space="preserve">   481820</v>
      </c>
      <c r="B7114"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7114">
        <v>422438</v>
      </c>
      <c r="D7114">
        <v>1270</v>
      </c>
    </row>
    <row r="7115" spans="1:4" x14ac:dyDescent="0.25">
      <c r="A7115" t="str">
        <f>T("   481840")</f>
        <v xml:space="preserve">   481840</v>
      </c>
      <c r="B7115"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7115">
        <v>66035611</v>
      </c>
      <c r="D7115">
        <v>128617.8</v>
      </c>
    </row>
    <row r="7116" spans="1:4" x14ac:dyDescent="0.25">
      <c r="A7116" t="str">
        <f>T("   481910")</f>
        <v xml:space="preserve">   481910</v>
      </c>
      <c r="B7116" t="str">
        <f>T("   Boîtes et caisses en papier ou en carton ondulé")</f>
        <v xml:space="preserve">   Boîtes et caisses en papier ou en carton ondulé</v>
      </c>
      <c r="C7116">
        <v>1437</v>
      </c>
      <c r="D7116">
        <v>2</v>
      </c>
    </row>
    <row r="7117" spans="1:4" x14ac:dyDescent="0.25">
      <c r="A7117" t="str">
        <f>T("   481920")</f>
        <v xml:space="preserve">   481920</v>
      </c>
      <c r="B7117" t="str">
        <f>T("   Boîtes et cartonnages, pliants, en papier ou en carton non ondulé")</f>
        <v xml:space="preserve">   Boîtes et cartonnages, pliants, en papier ou en carton non ondulé</v>
      </c>
      <c r="C7117">
        <v>4947476</v>
      </c>
      <c r="D7117">
        <v>10212</v>
      </c>
    </row>
    <row r="7118" spans="1:4" x14ac:dyDescent="0.25">
      <c r="A7118" t="str">
        <f>T("   491000")</f>
        <v xml:space="preserve">   491000</v>
      </c>
      <c r="B7118" t="str">
        <f>T("   Calendriers de tous genres, imprimés, y.c. les blocs de calendriers à effeuiller")</f>
        <v xml:space="preserve">   Calendriers de tous genres, imprimés, y.c. les blocs de calendriers à effeuiller</v>
      </c>
      <c r="C7118">
        <v>7670</v>
      </c>
      <c r="D7118">
        <v>186</v>
      </c>
    </row>
    <row r="7119" spans="1:4" x14ac:dyDescent="0.25">
      <c r="A7119" t="str">
        <f>T("   491110")</f>
        <v xml:space="preserve">   491110</v>
      </c>
      <c r="B7119" t="str">
        <f>T("   Imprimés publicitaires, catalogues commerciaux et simil.")</f>
        <v xml:space="preserve">   Imprimés publicitaires, catalogues commerciaux et simil.</v>
      </c>
      <c r="C7119">
        <v>38176</v>
      </c>
      <c r="D7119">
        <v>159</v>
      </c>
    </row>
    <row r="7120" spans="1:4" x14ac:dyDescent="0.25">
      <c r="A7120" t="str">
        <f>T("   560129")</f>
        <v xml:space="preserve">   560129</v>
      </c>
      <c r="B7120" t="s">
        <v>237</v>
      </c>
      <c r="C7120">
        <v>58001</v>
      </c>
      <c r="D7120">
        <v>136</v>
      </c>
    </row>
    <row r="7121" spans="1:4" x14ac:dyDescent="0.25">
      <c r="A7121" t="str">
        <f>T("   591190")</f>
        <v xml:space="preserve">   591190</v>
      </c>
      <c r="B7121" t="str">
        <f>T("   Produits et articles textiles pour usages techniques, en matières textiles, visés à la note 7 du présent chapitre, n.d.a.")</f>
        <v xml:space="preserve">   Produits et articles textiles pour usages techniques, en matières textiles, visés à la note 7 du présent chapitre, n.d.a.</v>
      </c>
      <c r="C7121">
        <v>8209</v>
      </c>
      <c r="D7121">
        <v>1505</v>
      </c>
    </row>
    <row r="7122" spans="1:4" x14ac:dyDescent="0.25">
      <c r="A7122" t="str">
        <f>T("   610510")</f>
        <v xml:space="preserve">   610510</v>
      </c>
      <c r="B7122"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7122">
        <v>431415</v>
      </c>
      <c r="D7122">
        <v>400</v>
      </c>
    </row>
    <row r="7123" spans="1:4" x14ac:dyDescent="0.25">
      <c r="A7123" t="str">
        <f>T("   610610")</f>
        <v xml:space="preserve">   610610</v>
      </c>
      <c r="B7123" t="str">
        <f>T("   Chemisiers, blouses, blouses-chemisiers et chemisettes, en bonneterie, de coton, pour femmes ou fillettes (sauf T-shirts et gilets de corps)")</f>
        <v xml:space="preserve">   Chemisiers, blouses, blouses-chemisiers et chemisettes, en bonneterie, de coton, pour femmes ou fillettes (sauf T-shirts et gilets de corps)</v>
      </c>
      <c r="C7123">
        <v>431415</v>
      </c>
      <c r="D7123">
        <v>400</v>
      </c>
    </row>
    <row r="7124" spans="1:4" x14ac:dyDescent="0.25">
      <c r="A7124" t="str">
        <f>T("   620339")</f>
        <v xml:space="preserve">   620339</v>
      </c>
      <c r="B7124"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7124">
        <v>131341</v>
      </c>
      <c r="D7124">
        <v>61</v>
      </c>
    </row>
    <row r="7125" spans="1:4" x14ac:dyDescent="0.25">
      <c r="A7125" t="str">
        <f>T("   620349")</f>
        <v xml:space="preserve">   620349</v>
      </c>
      <c r="B7125" t="s">
        <v>261</v>
      </c>
      <c r="C7125">
        <v>1185912</v>
      </c>
      <c r="D7125">
        <v>534</v>
      </c>
    </row>
    <row r="7126" spans="1:4" x14ac:dyDescent="0.25">
      <c r="A7126" t="str">
        <f>T("   620469")</f>
        <v xml:space="preserve">   620469</v>
      </c>
      <c r="B7126" t="s">
        <v>262</v>
      </c>
      <c r="C7126">
        <v>341298</v>
      </c>
      <c r="D7126">
        <v>153</v>
      </c>
    </row>
    <row r="7127" spans="1:4" x14ac:dyDescent="0.25">
      <c r="A7127" t="str">
        <f>T("   620690")</f>
        <v xml:space="preserve">   620690</v>
      </c>
      <c r="B7127" t="s">
        <v>263</v>
      </c>
      <c r="C7127">
        <v>2015188</v>
      </c>
      <c r="D7127">
        <v>912</v>
      </c>
    </row>
    <row r="7128" spans="1:4" x14ac:dyDescent="0.25">
      <c r="A7128" t="str">
        <f>T("   621490")</f>
        <v xml:space="preserve">   621490</v>
      </c>
      <c r="B7128"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7128">
        <v>15339</v>
      </c>
      <c r="D7128">
        <v>5</v>
      </c>
    </row>
    <row r="7129" spans="1:4" x14ac:dyDescent="0.25">
      <c r="A7129" t="str">
        <f>T("   630710")</f>
        <v xml:space="preserve">   630710</v>
      </c>
      <c r="B7129" t="str">
        <f>T("   Serpillières ou wassingues, lavettes, chamoisettes et articles d'entretien simil. en tous types de matières textiles")</f>
        <v xml:space="preserve">   Serpillières ou wassingues, lavettes, chamoisettes et articles d'entretien simil. en tous types de matières textiles</v>
      </c>
      <c r="C7129">
        <v>101651</v>
      </c>
      <c r="D7129">
        <v>800</v>
      </c>
    </row>
    <row r="7130" spans="1:4" x14ac:dyDescent="0.25">
      <c r="A7130" t="str">
        <f>T("   640419")</f>
        <v xml:space="preserve">   640419</v>
      </c>
      <c r="B7130" t="s">
        <v>282</v>
      </c>
      <c r="C7130">
        <v>29719</v>
      </c>
      <c r="D7130">
        <v>15</v>
      </c>
    </row>
    <row r="7131" spans="1:4" x14ac:dyDescent="0.25">
      <c r="A7131" t="str">
        <f>T("   640590")</f>
        <v xml:space="preserve">   640590</v>
      </c>
      <c r="B7131" t="s">
        <v>283</v>
      </c>
      <c r="C7131">
        <v>3545149</v>
      </c>
      <c r="D7131">
        <v>3500</v>
      </c>
    </row>
    <row r="7132" spans="1:4" x14ac:dyDescent="0.25">
      <c r="A7132" t="str">
        <f>T("   650590")</f>
        <v xml:space="preserve">   650590</v>
      </c>
      <c r="B7132" t="s">
        <v>284</v>
      </c>
      <c r="C7132">
        <v>26983282</v>
      </c>
      <c r="D7132">
        <v>4087</v>
      </c>
    </row>
    <row r="7133" spans="1:4" x14ac:dyDescent="0.25">
      <c r="A7133" t="str">
        <f>T("   660320")</f>
        <v xml:space="preserve">   660320</v>
      </c>
      <c r="B7133" t="str">
        <f>T("   Montures assemblées, même avec mâts ou manches, reconnaissables comme étant destinées aux parapluies, ombrelles ou parasols du n° 6601")</f>
        <v xml:space="preserve">   Montures assemblées, même avec mâts ou manches, reconnaissables comme étant destinées aux parapluies, ombrelles ou parasols du n° 6601</v>
      </c>
      <c r="C7133">
        <v>1923632</v>
      </c>
      <c r="D7133">
        <v>2040</v>
      </c>
    </row>
    <row r="7134" spans="1:4" x14ac:dyDescent="0.25">
      <c r="A7134" t="str">
        <f>T("   680520")</f>
        <v xml:space="preserve">   680520</v>
      </c>
      <c r="B7134"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7134">
        <v>179402</v>
      </c>
      <c r="D7134">
        <v>393</v>
      </c>
    </row>
    <row r="7135" spans="1:4" x14ac:dyDescent="0.25">
      <c r="A7135" t="str">
        <f>T("   691390")</f>
        <v xml:space="preserve">   691390</v>
      </c>
      <c r="B7135" t="str">
        <f>T("   Statuettes et autres objets d'ornementation en céramique autres que la porcelaine n.d.a.")</f>
        <v xml:space="preserve">   Statuettes et autres objets d'ornementation en céramique autres que la porcelaine n.d.a.</v>
      </c>
      <c r="C7135">
        <v>39541</v>
      </c>
      <c r="D7135">
        <v>289</v>
      </c>
    </row>
    <row r="7136" spans="1:4" x14ac:dyDescent="0.25">
      <c r="A7136" t="str">
        <f>T("   700529")</f>
        <v xml:space="preserve">   700529</v>
      </c>
      <c r="B7136" t="s">
        <v>315</v>
      </c>
      <c r="C7136">
        <v>1758256</v>
      </c>
      <c r="D7136">
        <v>16378</v>
      </c>
    </row>
    <row r="7137" spans="1:4" x14ac:dyDescent="0.25">
      <c r="A7137" t="str">
        <f>T("   700992")</f>
        <v xml:space="preserve">   700992</v>
      </c>
      <c r="B7137" t="str">
        <f>T("   Miroirs, en verre encadrés (sauf miroirs rétroviseurs pour véhicules)")</f>
        <v xml:space="preserve">   Miroirs, en verre encadrés (sauf miroirs rétroviseurs pour véhicules)</v>
      </c>
      <c r="C7137">
        <v>95870</v>
      </c>
      <c r="D7137">
        <v>321</v>
      </c>
    </row>
    <row r="7138" spans="1:4" x14ac:dyDescent="0.25">
      <c r="A7138" t="str">
        <f>T("   701310")</f>
        <v xml:space="preserve">   701310</v>
      </c>
      <c r="B7138" t="s">
        <v>322</v>
      </c>
      <c r="C7138">
        <v>1025306</v>
      </c>
      <c r="D7138">
        <v>4437</v>
      </c>
    </row>
    <row r="7139" spans="1:4" x14ac:dyDescent="0.25">
      <c r="A7139" t="str">
        <f>T("   701329")</f>
        <v xml:space="preserve">   701329</v>
      </c>
      <c r="B7139" t="str">
        <f>T("   Verres à boire (autres qu'en vitrocérame, autres qu'en cristal au plomb)")</f>
        <v xml:space="preserve">   Verres à boire (autres qu'en vitrocérame, autres qu'en cristal au plomb)</v>
      </c>
      <c r="C7139">
        <v>12022573</v>
      </c>
      <c r="D7139">
        <v>55662.33</v>
      </c>
    </row>
    <row r="7140" spans="1:4" x14ac:dyDescent="0.25">
      <c r="A7140" t="str">
        <f>T("   701339")</f>
        <v xml:space="preserve">   701339</v>
      </c>
      <c r="B7140" t="s">
        <v>324</v>
      </c>
      <c r="C7140">
        <v>1209366</v>
      </c>
      <c r="D7140">
        <v>3760.67</v>
      </c>
    </row>
    <row r="7141" spans="1:4" x14ac:dyDescent="0.25">
      <c r="A7141" t="str">
        <f>T("   701399")</f>
        <v xml:space="preserve">   701399</v>
      </c>
      <c r="B7141" t="s">
        <v>326</v>
      </c>
      <c r="C7141">
        <v>2210838</v>
      </c>
      <c r="D7141">
        <v>4979</v>
      </c>
    </row>
    <row r="7142" spans="1:4" x14ac:dyDescent="0.25">
      <c r="A7142" t="str">
        <f>T("   711790")</f>
        <v xml:space="preserve">   711790</v>
      </c>
      <c r="B7142" t="str">
        <f>T("   Bijouterie de fantaisie (autre qu'en métaux communs, même argentés, dorés ou platinés)")</f>
        <v xml:space="preserve">   Bijouterie de fantaisie (autre qu'en métaux communs, même argentés, dorés ou platinés)</v>
      </c>
      <c r="C7142">
        <v>156268</v>
      </c>
      <c r="D7142">
        <v>71</v>
      </c>
    </row>
    <row r="7143" spans="1:4" x14ac:dyDescent="0.25">
      <c r="A7143" t="str">
        <f>T("   720851")</f>
        <v xml:space="preserve">   720851</v>
      </c>
      <c r="B7143" t="str">
        <f>T("   PRODUITS LAMINÉS PLATS, EN FER OU EN ACIERS NON-ALLIÉS, D'UNE LARGEUR &gt;= 600 MM, NON-ENROULÉS, SIMPL. LAMINÉS À CHAUD, NON-PLAQUÉS NI REVÊTUS, ÉPAISSEUR &gt; 10 MM (SANS MOTIFS EN RELIEF)")</f>
        <v xml:space="preserve">   PRODUITS LAMINÉS PLATS, EN FER OU EN ACIERS NON-ALLIÉS, D'UNE LARGEUR &gt;= 600 MM, NON-ENROULÉS, SIMPL. LAMINÉS À CHAUD, NON-PLAQUÉS NI REVÊTUS, ÉPAISSEUR &gt; 10 MM (SANS MOTIFS EN RELIEF)</v>
      </c>
      <c r="C7143">
        <v>18558270</v>
      </c>
      <c r="D7143">
        <v>27600</v>
      </c>
    </row>
    <row r="7144" spans="1:4" x14ac:dyDescent="0.25">
      <c r="A7144" t="str">
        <f>T("   721610")</f>
        <v xml:space="preserve">   721610</v>
      </c>
      <c r="B7144" t="str">
        <f>T("   PROFILÉS U, I OU H EN FER OU EN ACIERS NON ALLIÉS, SIMPLEMENT LAMINÉS OU FILÉS À CHAUD, HAUTEUR &lt; 80 MM")</f>
        <v xml:space="preserve">   PROFILÉS U, I OU H EN FER OU EN ACIERS NON ALLIÉS, SIMPLEMENT LAMINÉS OU FILÉS À CHAUD, HAUTEUR &lt; 80 MM</v>
      </c>
      <c r="C7144">
        <v>3574858</v>
      </c>
      <c r="D7144">
        <v>10430</v>
      </c>
    </row>
    <row r="7145" spans="1:4" x14ac:dyDescent="0.25">
      <c r="A7145" t="str">
        <f>T("   721661")</f>
        <v xml:space="preserve">   721661</v>
      </c>
      <c r="B7145"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7145">
        <v>2837397</v>
      </c>
      <c r="D7145">
        <v>8344</v>
      </c>
    </row>
    <row r="7146" spans="1:4" x14ac:dyDescent="0.25">
      <c r="A7146" t="str">
        <f>T("   721699")</f>
        <v xml:space="preserve">   721699</v>
      </c>
      <c r="B7146" t="s">
        <v>341</v>
      </c>
      <c r="C7146">
        <v>26690462</v>
      </c>
      <c r="D7146">
        <v>83438</v>
      </c>
    </row>
    <row r="7147" spans="1:4" x14ac:dyDescent="0.25">
      <c r="A7147" t="str">
        <f>T("   730690")</f>
        <v xml:space="preserve">   730690</v>
      </c>
      <c r="B7147"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7147">
        <v>3623523</v>
      </c>
      <c r="D7147">
        <v>4167</v>
      </c>
    </row>
    <row r="7148" spans="1:4" x14ac:dyDescent="0.25">
      <c r="A7148" t="str">
        <f>T("   730890")</f>
        <v xml:space="preserve">   730890</v>
      </c>
      <c r="B7148" t="s">
        <v>349</v>
      </c>
      <c r="C7148">
        <v>124949568</v>
      </c>
      <c r="D7148">
        <v>69007</v>
      </c>
    </row>
    <row r="7149" spans="1:4" x14ac:dyDescent="0.25">
      <c r="A7149" t="str">
        <f>T("   731100")</f>
        <v xml:space="preserve">   731100</v>
      </c>
      <c r="B7149"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7149">
        <v>58512798</v>
      </c>
      <c r="D7149">
        <v>2172</v>
      </c>
    </row>
    <row r="7150" spans="1:4" x14ac:dyDescent="0.25">
      <c r="A7150" t="str">
        <f>T("   731815")</f>
        <v xml:space="preserve">   731815</v>
      </c>
      <c r="B7150" t="s">
        <v>354</v>
      </c>
      <c r="C7150">
        <v>494366</v>
      </c>
      <c r="D7150">
        <v>773</v>
      </c>
    </row>
    <row r="7151" spans="1:4" x14ac:dyDescent="0.25">
      <c r="A7151" t="str">
        <f>T("   731822")</f>
        <v xml:space="preserve">   731822</v>
      </c>
      <c r="B7151" t="str">
        <f>T("   Rondelles en fonte, fer ou acier (sauf rondelles destinées à faire ressort et autres rondelles de blocage)")</f>
        <v xml:space="preserve">   Rondelles en fonte, fer ou acier (sauf rondelles destinées à faire ressort et autres rondelles de blocage)</v>
      </c>
      <c r="C7151">
        <v>15819</v>
      </c>
      <c r="D7151">
        <v>3089</v>
      </c>
    </row>
    <row r="7152" spans="1:4" x14ac:dyDescent="0.25">
      <c r="A7152" t="str">
        <f>T("   731829")</f>
        <v xml:space="preserve">   731829</v>
      </c>
      <c r="B7152" t="str">
        <f>T("   Articles de boulonnerie et de visserie non filetés, en fonte, fer ou acier, n.d.a.")</f>
        <v xml:space="preserve">   Articles de boulonnerie et de visserie non filetés, en fonte, fer ou acier, n.d.a.</v>
      </c>
      <c r="C7152">
        <v>33555</v>
      </c>
      <c r="D7152">
        <v>312</v>
      </c>
    </row>
    <row r="7153" spans="1:4" x14ac:dyDescent="0.25">
      <c r="A7153" t="str">
        <f>T("   732090")</f>
        <v xml:space="preserve">   732090</v>
      </c>
      <c r="B7153" t="s">
        <v>355</v>
      </c>
      <c r="C7153">
        <v>640873</v>
      </c>
      <c r="D7153">
        <v>737</v>
      </c>
    </row>
    <row r="7154" spans="1:4" x14ac:dyDescent="0.25">
      <c r="A7154" t="str">
        <f>T("   732111")</f>
        <v xml:space="preserve">   732111</v>
      </c>
      <c r="B7154" t="s">
        <v>356</v>
      </c>
      <c r="C7154">
        <v>4207513</v>
      </c>
      <c r="D7154">
        <v>6244</v>
      </c>
    </row>
    <row r="7155" spans="1:4" x14ac:dyDescent="0.25">
      <c r="A7155" t="str">
        <f>T("   732393")</f>
        <v xml:space="preserve">   732393</v>
      </c>
      <c r="B7155" t="s">
        <v>361</v>
      </c>
      <c r="C7155">
        <v>181701</v>
      </c>
      <c r="D7155">
        <v>546</v>
      </c>
    </row>
    <row r="7156" spans="1:4" x14ac:dyDescent="0.25">
      <c r="A7156" t="str">
        <f>T("   732394")</f>
        <v xml:space="preserve">   732394</v>
      </c>
      <c r="B7156" t="s">
        <v>362</v>
      </c>
      <c r="C7156">
        <v>373893</v>
      </c>
      <c r="D7156">
        <v>1340</v>
      </c>
    </row>
    <row r="7157" spans="1:4" x14ac:dyDescent="0.25">
      <c r="A7157" t="str">
        <f>T("   732399")</f>
        <v xml:space="preserve">   732399</v>
      </c>
      <c r="B7157" t="s">
        <v>363</v>
      </c>
      <c r="C7157">
        <v>1442</v>
      </c>
      <c r="D7157">
        <v>302</v>
      </c>
    </row>
    <row r="7158" spans="1:4" x14ac:dyDescent="0.25">
      <c r="A7158" t="str">
        <f>T("   732490")</f>
        <v xml:space="preserve">   732490</v>
      </c>
      <c r="B7158" t="s">
        <v>364</v>
      </c>
      <c r="C7158">
        <v>223857</v>
      </c>
      <c r="D7158">
        <v>750</v>
      </c>
    </row>
    <row r="7159" spans="1:4" x14ac:dyDescent="0.25">
      <c r="A7159" t="str">
        <f>T("   732690")</f>
        <v xml:space="preserve">   732690</v>
      </c>
      <c r="B7159"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159">
        <v>2491292</v>
      </c>
      <c r="D7159">
        <v>1906</v>
      </c>
    </row>
    <row r="7160" spans="1:4" x14ac:dyDescent="0.25">
      <c r="A7160" t="str">
        <f>T("   741811")</f>
        <v xml:space="preserve">   741811</v>
      </c>
      <c r="B7160" t="str">
        <f>T("   Eponges, torchons, gants et articles simil. pour le récurage, le polissage et usages analogues, en cuivre (à l'excl. des articles d'hygiène et de toilette)")</f>
        <v xml:space="preserve">   Eponges, torchons, gants et articles simil. pour le récurage, le polissage et usages analogues, en cuivre (à l'excl. des articles d'hygiène et de toilette)</v>
      </c>
      <c r="C7160">
        <v>95870</v>
      </c>
      <c r="D7160">
        <v>1352</v>
      </c>
    </row>
    <row r="7161" spans="1:4" x14ac:dyDescent="0.25">
      <c r="A7161" t="str">
        <f>T("   760429")</f>
        <v xml:space="preserve">   760429</v>
      </c>
      <c r="B7161" t="str">
        <f>T("   Barres et profilés pleins en alliages d'aluminium, n.d.a.")</f>
        <v xml:space="preserve">   Barres et profilés pleins en alliages d'aluminium, n.d.a.</v>
      </c>
      <c r="C7161">
        <v>6353089</v>
      </c>
      <c r="D7161">
        <v>11086</v>
      </c>
    </row>
    <row r="7162" spans="1:4" x14ac:dyDescent="0.25">
      <c r="A7162" t="str">
        <f>T("   760611")</f>
        <v xml:space="preserve">   760611</v>
      </c>
      <c r="B7162"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7162">
        <v>227691</v>
      </c>
      <c r="D7162">
        <v>2120</v>
      </c>
    </row>
    <row r="7163" spans="1:4" x14ac:dyDescent="0.25">
      <c r="A7163" t="str">
        <f>T("   760719")</f>
        <v xml:space="preserve">   760719</v>
      </c>
      <c r="B7163"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7163">
        <v>319055</v>
      </c>
      <c r="D7163">
        <v>618</v>
      </c>
    </row>
    <row r="7164" spans="1:4" x14ac:dyDescent="0.25">
      <c r="A7164" t="str">
        <f>T("   761010")</f>
        <v xml:space="preserve">   761010</v>
      </c>
      <c r="B7164" t="str">
        <f>T("   Portes, fenêtres et leurs cadres, chambranles et seuils, en aluminium (sauf pièces de garnissage)")</f>
        <v xml:space="preserve">   Portes, fenêtres et leurs cadres, chambranles et seuils, en aluminium (sauf pièces de garnissage)</v>
      </c>
      <c r="C7164">
        <v>10185708</v>
      </c>
      <c r="D7164">
        <v>21924</v>
      </c>
    </row>
    <row r="7165" spans="1:4" x14ac:dyDescent="0.25">
      <c r="A7165" t="str">
        <f>T("   761090")</f>
        <v xml:space="preserve">   761090</v>
      </c>
      <c r="B7165"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7165">
        <v>8149</v>
      </c>
      <c r="D7165">
        <v>562</v>
      </c>
    </row>
    <row r="7166" spans="1:4" x14ac:dyDescent="0.25">
      <c r="A7166" t="str">
        <f>T("   761519")</f>
        <v xml:space="preserve">   761519</v>
      </c>
      <c r="B7166" t="s">
        <v>373</v>
      </c>
      <c r="C7166">
        <v>1020673</v>
      </c>
      <c r="D7166">
        <v>3425</v>
      </c>
    </row>
    <row r="7167" spans="1:4" x14ac:dyDescent="0.25">
      <c r="A7167" t="str">
        <f>T("   761699")</f>
        <v xml:space="preserve">   761699</v>
      </c>
      <c r="B7167" t="str">
        <f>T("   Ouvrages en aluminium, n.d.a.")</f>
        <v xml:space="preserve">   Ouvrages en aluminium, n.d.a.</v>
      </c>
      <c r="C7167">
        <v>35472</v>
      </c>
      <c r="D7167">
        <v>330</v>
      </c>
    </row>
    <row r="7168" spans="1:4" x14ac:dyDescent="0.25">
      <c r="A7168" t="str">
        <f>T("   820140")</f>
        <v xml:space="preserve">   820140</v>
      </c>
      <c r="B7168" t="str">
        <f>T("   Haches, serpes et outils simil. à taillants, avec partie travaillante en métaux communs")</f>
        <v xml:space="preserve">   Haches, serpes et outils simil. à taillants, avec partie travaillante en métaux communs</v>
      </c>
      <c r="C7168">
        <v>264601</v>
      </c>
      <c r="D7168">
        <v>1455</v>
      </c>
    </row>
    <row r="7169" spans="1:4" x14ac:dyDescent="0.25">
      <c r="A7169" t="str">
        <f>T("   820559")</f>
        <v xml:space="preserve">   820559</v>
      </c>
      <c r="B7169" t="str">
        <f>T("   Outils à main, y.c. -les diamants de vitrier-, en métaux communs, n.d.a.")</f>
        <v xml:space="preserve">   Outils à main, y.c. -les diamants de vitrier-, en métaux communs, n.d.a.</v>
      </c>
      <c r="C7169">
        <v>179277</v>
      </c>
      <c r="D7169">
        <v>1500</v>
      </c>
    </row>
    <row r="7170" spans="1:4" x14ac:dyDescent="0.25">
      <c r="A7170" t="str">
        <f>T("   820750")</f>
        <v xml:space="preserve">   820750</v>
      </c>
      <c r="B7170" t="str">
        <f>T("   OUTILS INTERCHANGEABLES À PERCER (À L'EXCL. DES OUTILS DE FORAGE OU DE SONDAGE ET DES OUTILS À TARAUDER) [01/01/1988-31/12/1993: OUTILS INTERCHANGEABLES (SAUF OUTILS DE FORAGE OU DE SONDAGE ET SAUF OUTILS A TARAUDER OU A FILETER)]")</f>
        <v xml:space="preserve">   OUTILS INTERCHANGEABLES À PERCER (À L'EXCL. DES OUTILS DE FORAGE OU DE SONDAGE ET DES OUTILS À TARAUDER) [01/01/1988-31/12/1993: OUTILS INTERCHANGEABLES (SAUF OUTILS DE FORAGE OU DE SONDAGE ET SAUF OUTILS A TARAUDER OU A FILETER)]</v>
      </c>
      <c r="C7170">
        <v>2900183</v>
      </c>
      <c r="D7170">
        <v>1977</v>
      </c>
    </row>
    <row r="7171" spans="1:4" x14ac:dyDescent="0.25">
      <c r="A7171" t="str">
        <f>T("   821000")</f>
        <v xml:space="preserve">   821000</v>
      </c>
      <c r="B7171" t="s">
        <v>378</v>
      </c>
      <c r="C7171">
        <v>449333</v>
      </c>
      <c r="D7171">
        <v>517</v>
      </c>
    </row>
    <row r="7172" spans="1:4" x14ac:dyDescent="0.25">
      <c r="A7172" t="str">
        <f>T("   821599")</f>
        <v xml:space="preserve">   821599</v>
      </c>
      <c r="B7172" t="s">
        <v>380</v>
      </c>
      <c r="C7172">
        <v>275503</v>
      </c>
      <c r="D7172">
        <v>630</v>
      </c>
    </row>
    <row r="7173" spans="1:4" x14ac:dyDescent="0.25">
      <c r="A7173" t="str">
        <f>T("   830140")</f>
        <v xml:space="preserve">   830140</v>
      </c>
      <c r="B7173"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7173">
        <v>665799</v>
      </c>
      <c r="D7173">
        <v>766</v>
      </c>
    </row>
    <row r="7174" spans="1:4" x14ac:dyDescent="0.25">
      <c r="A7174" t="str">
        <f>T("   830160")</f>
        <v xml:space="preserve">   830160</v>
      </c>
      <c r="B7174" t="str">
        <f>T("   Parties des cadenas, serrures et verrous, ainsi que des fermoirs et montures-fermoirs, avec serrure, en métaux communs, n.d.a.")</f>
        <v xml:space="preserve">   Parties des cadenas, serrures et verrous, ainsi que des fermoirs et montures-fermoirs, avec serrure, en métaux communs, n.d.a.</v>
      </c>
      <c r="C7174">
        <v>616444</v>
      </c>
      <c r="D7174">
        <v>2060</v>
      </c>
    </row>
    <row r="7175" spans="1:4" x14ac:dyDescent="0.25">
      <c r="A7175" t="str">
        <f>T("   830210")</f>
        <v xml:space="preserve">   830210</v>
      </c>
      <c r="B7175" t="str">
        <f>T("   Charnières de tous genres, y.c. les paumelles et pentures, en métaux communs")</f>
        <v xml:space="preserve">   Charnières de tous genres, y.c. les paumelles et pentures, en métaux communs</v>
      </c>
      <c r="C7175">
        <v>9236643</v>
      </c>
      <c r="D7175">
        <v>59533</v>
      </c>
    </row>
    <row r="7176" spans="1:4" x14ac:dyDescent="0.25">
      <c r="A7176" t="str">
        <f>T("   830241")</f>
        <v xml:space="preserve">   830241</v>
      </c>
      <c r="B7176"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7176">
        <v>1172969</v>
      </c>
      <c r="D7176">
        <v>3848</v>
      </c>
    </row>
    <row r="7177" spans="1:4" x14ac:dyDescent="0.25">
      <c r="A7177" t="str">
        <f>T("   830260")</f>
        <v xml:space="preserve">   830260</v>
      </c>
      <c r="B7177" t="str">
        <f>T("   Ferme-portes automatiques en métaux communs")</f>
        <v xml:space="preserve">   Ferme-portes automatiques en métaux communs</v>
      </c>
      <c r="C7177">
        <v>231526</v>
      </c>
      <c r="D7177">
        <v>218</v>
      </c>
    </row>
    <row r="7178" spans="1:4" x14ac:dyDescent="0.25">
      <c r="A7178" t="str">
        <f>T("   830300")</f>
        <v xml:space="preserve">   830300</v>
      </c>
      <c r="B7178"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7178">
        <v>48415</v>
      </c>
      <c r="D7178">
        <v>2614</v>
      </c>
    </row>
    <row r="7179" spans="1:4" x14ac:dyDescent="0.25">
      <c r="A7179" t="str">
        <f>T("   840790")</f>
        <v xml:space="preserve">   840790</v>
      </c>
      <c r="B7179" t="s">
        <v>391</v>
      </c>
      <c r="C7179">
        <v>7395293</v>
      </c>
      <c r="D7179">
        <v>8502</v>
      </c>
    </row>
    <row r="7180" spans="1:4" x14ac:dyDescent="0.25">
      <c r="A7180" t="str">
        <f>T("   841330")</f>
        <v xml:space="preserve">   841330</v>
      </c>
      <c r="B7180"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7180">
        <v>182632</v>
      </c>
      <c r="D7180">
        <v>353.5</v>
      </c>
    </row>
    <row r="7181" spans="1:4" x14ac:dyDescent="0.25">
      <c r="A7181" t="str">
        <f>T("   841381")</f>
        <v xml:space="preserve">   841381</v>
      </c>
      <c r="B7181" t="s">
        <v>398</v>
      </c>
      <c r="C7181">
        <v>3982166</v>
      </c>
      <c r="D7181">
        <v>1972</v>
      </c>
    </row>
    <row r="7182" spans="1:4" x14ac:dyDescent="0.25">
      <c r="A7182" t="str">
        <f>T("   841430")</f>
        <v xml:space="preserve">   841430</v>
      </c>
      <c r="B7182" t="str">
        <f>T("   Compresseurs des types utilisés pour équipements frigorifiques")</f>
        <v xml:space="preserve">   Compresseurs des types utilisés pour équipements frigorifiques</v>
      </c>
      <c r="C7182">
        <v>8379</v>
      </c>
      <c r="D7182">
        <v>5</v>
      </c>
    </row>
    <row r="7183" spans="1:4" x14ac:dyDescent="0.25">
      <c r="A7183" t="str">
        <f>T("   841480")</f>
        <v xml:space="preserve">   841480</v>
      </c>
      <c r="B7183" t="s">
        <v>399</v>
      </c>
      <c r="C7183">
        <v>519462</v>
      </c>
      <c r="D7183">
        <v>2039</v>
      </c>
    </row>
    <row r="7184" spans="1:4" x14ac:dyDescent="0.25">
      <c r="A7184" t="str">
        <f>T("   841510")</f>
        <v xml:space="preserve">   841510</v>
      </c>
      <c r="B7184" t="s">
        <v>400</v>
      </c>
      <c r="C7184">
        <v>22816183</v>
      </c>
      <c r="D7184">
        <v>8974</v>
      </c>
    </row>
    <row r="7185" spans="1:4" x14ac:dyDescent="0.25">
      <c r="A7185" t="str">
        <f>T("   841810")</f>
        <v xml:space="preserve">   841810</v>
      </c>
      <c r="B7185" t="str">
        <f>T("   Réfrigérateurs et congélateurs-conservateurs combinés, avec portes extérieures séparées")</f>
        <v xml:space="preserve">   Réfrigérateurs et congélateurs-conservateurs combinés, avec portes extérieures séparées</v>
      </c>
      <c r="C7185">
        <v>20660408</v>
      </c>
      <c r="D7185">
        <v>13528</v>
      </c>
    </row>
    <row r="7186" spans="1:4" x14ac:dyDescent="0.25">
      <c r="A7186" t="str">
        <f>T("   841821")</f>
        <v xml:space="preserve">   841821</v>
      </c>
      <c r="B7186" t="str">
        <f>T("   Réfrigérateurs ménagers à compression")</f>
        <v xml:space="preserve">   Réfrigérateurs ménagers à compression</v>
      </c>
      <c r="C7186">
        <v>15539692</v>
      </c>
      <c r="D7186">
        <v>14887</v>
      </c>
    </row>
    <row r="7187" spans="1:4" x14ac:dyDescent="0.25">
      <c r="A7187" t="str">
        <f>T("   841829")</f>
        <v xml:space="preserve">   841829</v>
      </c>
      <c r="B7187" t="str">
        <f>T("   Réfrigérateurs ménagers à absorption, non-électriques")</f>
        <v xml:space="preserve">   Réfrigérateurs ménagers à absorption, non-électriques</v>
      </c>
      <c r="C7187">
        <v>1439378</v>
      </c>
      <c r="D7187">
        <v>1977</v>
      </c>
    </row>
    <row r="7188" spans="1:4" x14ac:dyDescent="0.25">
      <c r="A7188" t="str">
        <f>T("   841830")</f>
        <v xml:space="preserve">   841830</v>
      </c>
      <c r="B7188" t="str">
        <f>T("   Meubles congélateurs-conservateurs du type coffre, capacité &lt;= 800 l")</f>
        <v xml:space="preserve">   Meubles congélateurs-conservateurs du type coffre, capacité &lt;= 800 l</v>
      </c>
      <c r="C7188">
        <v>19731585</v>
      </c>
      <c r="D7188">
        <v>14952</v>
      </c>
    </row>
    <row r="7189" spans="1:4" x14ac:dyDescent="0.25">
      <c r="A7189" t="str">
        <f>T("   841850")</f>
        <v xml:space="preserve">   841850</v>
      </c>
      <c r="B7189" t="s">
        <v>404</v>
      </c>
      <c r="C7189">
        <v>1150488</v>
      </c>
      <c r="D7189">
        <v>650</v>
      </c>
    </row>
    <row r="7190" spans="1:4" x14ac:dyDescent="0.25">
      <c r="A7190" t="str">
        <f>T("   841869")</f>
        <v xml:space="preserve">   841869</v>
      </c>
      <c r="B7190"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7190">
        <v>703825</v>
      </c>
      <c r="D7190">
        <v>425</v>
      </c>
    </row>
    <row r="7191" spans="1:4" x14ac:dyDescent="0.25">
      <c r="A7191" t="str">
        <f>T("   841899")</f>
        <v xml:space="preserve">   841899</v>
      </c>
      <c r="B7191"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7191">
        <v>12568</v>
      </c>
      <c r="D7191">
        <v>8</v>
      </c>
    </row>
    <row r="7192" spans="1:4" x14ac:dyDescent="0.25">
      <c r="A7192" t="str">
        <f>T("   841939")</f>
        <v xml:space="preserve">   841939</v>
      </c>
      <c r="B7192" t="str">
        <f>T("   Séchoirs (sauf pour produits agricoles, pâtes à papier, papier ou carton, pour fils, tissus ou autres matières textiles, pour bouteilles ou autres récipients, sèche-cheveux, sèche-mains et sauf appareils ménagers)")</f>
        <v xml:space="preserve">   Séchoirs (sauf pour produits agricoles, pâtes à papier, papier ou carton, pour fils, tissus ou autres matières textiles, pour bouteilles ou autres récipients, sèche-cheveux, sèche-mains et sauf appareils ménagers)</v>
      </c>
      <c r="C7192">
        <v>703640</v>
      </c>
      <c r="D7192">
        <v>671</v>
      </c>
    </row>
    <row r="7193" spans="1:4" x14ac:dyDescent="0.25">
      <c r="A7193" t="str">
        <f>T("   842123")</f>
        <v xml:space="preserve">   842123</v>
      </c>
      <c r="B7193"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7193">
        <v>1344945</v>
      </c>
      <c r="D7193">
        <v>10462</v>
      </c>
    </row>
    <row r="7194" spans="1:4" x14ac:dyDescent="0.25">
      <c r="A7194" t="str">
        <f>T("   842131")</f>
        <v xml:space="preserve">   842131</v>
      </c>
      <c r="B7194" t="str">
        <f>T("   Filtres d'entrée d'air pour moteurs à allumage par étincelles ou par compression")</f>
        <v xml:space="preserve">   Filtres d'entrée d'air pour moteurs à allumage par étincelles ou par compression</v>
      </c>
      <c r="C7194">
        <v>44100</v>
      </c>
      <c r="D7194">
        <v>1060</v>
      </c>
    </row>
    <row r="7195" spans="1:4" x14ac:dyDescent="0.25">
      <c r="A7195" t="str">
        <f>T("   842240")</f>
        <v xml:space="preserve">   842240</v>
      </c>
      <c r="B7195" t="s">
        <v>406</v>
      </c>
      <c r="C7195">
        <v>3867875</v>
      </c>
      <c r="D7195">
        <v>2614</v>
      </c>
    </row>
    <row r="7196" spans="1:4" x14ac:dyDescent="0.25">
      <c r="A7196" t="str">
        <f>T("   842420")</f>
        <v xml:space="preserve">   842420</v>
      </c>
      <c r="B7196" t="s">
        <v>408</v>
      </c>
      <c r="C7196">
        <v>2732</v>
      </c>
      <c r="D7196">
        <v>380</v>
      </c>
    </row>
    <row r="7197" spans="1:4" x14ac:dyDescent="0.25">
      <c r="A7197" t="str">
        <f>T("   842489")</f>
        <v xml:space="preserve">   842489</v>
      </c>
      <c r="B7197"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7197">
        <v>854716</v>
      </c>
      <c r="D7197">
        <v>983</v>
      </c>
    </row>
    <row r="7198" spans="1:4" x14ac:dyDescent="0.25">
      <c r="A7198" t="str">
        <f>T("   842720")</f>
        <v xml:space="preserve">   842720</v>
      </c>
      <c r="B7198" t="str">
        <f>T("   Chariots de manutention autopropulsés, autres qu'à moteur électrique, avec dispositif de levage")</f>
        <v xml:space="preserve">   Chariots de manutention autopropulsés, autres qu'à moteur électrique, avec dispositif de levage</v>
      </c>
      <c r="C7198">
        <v>29062354</v>
      </c>
      <c r="D7198">
        <v>11808</v>
      </c>
    </row>
    <row r="7199" spans="1:4" x14ac:dyDescent="0.25">
      <c r="A7199" t="str">
        <f>T("   842810")</f>
        <v xml:space="preserve">   842810</v>
      </c>
      <c r="B7199" t="str">
        <f>T("   Ascenseurs et monte-charge")</f>
        <v xml:space="preserve">   Ascenseurs et monte-charge</v>
      </c>
      <c r="C7199">
        <v>12870548</v>
      </c>
      <c r="D7199">
        <v>12000</v>
      </c>
    </row>
    <row r="7200" spans="1:4" x14ac:dyDescent="0.25">
      <c r="A7200" t="str">
        <f>T("   842940")</f>
        <v xml:space="preserve">   842940</v>
      </c>
      <c r="B7200" t="str">
        <f>T("   Rouleaux compresseurs et autres compacteuses, autopropulsés")</f>
        <v xml:space="preserve">   Rouleaux compresseurs et autres compacteuses, autopropulsés</v>
      </c>
      <c r="C7200">
        <v>270833</v>
      </c>
      <c r="D7200">
        <v>2000</v>
      </c>
    </row>
    <row r="7201" spans="1:4" x14ac:dyDescent="0.25">
      <c r="A7201" t="str">
        <f>T("   842959")</f>
        <v xml:space="preserve">   842959</v>
      </c>
      <c r="B7201"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7201">
        <v>16084589</v>
      </c>
      <c r="D7201">
        <v>9000</v>
      </c>
    </row>
    <row r="7202" spans="1:4" x14ac:dyDescent="0.25">
      <c r="A7202" t="str">
        <f>T("   843149")</f>
        <v xml:space="preserve">   843149</v>
      </c>
      <c r="B7202" t="str">
        <f>T("   Parties de machines et appareils du n° 8426, 8429 ou 8430, n.d.a.")</f>
        <v xml:space="preserve">   Parties de machines et appareils du n° 8426, 8429 ou 8430, n.d.a.</v>
      </c>
      <c r="C7202">
        <v>11306908</v>
      </c>
      <c r="D7202">
        <v>4900</v>
      </c>
    </row>
    <row r="7203" spans="1:4" x14ac:dyDescent="0.25">
      <c r="A7203" t="str">
        <f>T("   843850")</f>
        <v xml:space="preserve">   843850</v>
      </c>
      <c r="B7203" t="str">
        <f>T("   Machines et appareils pour le traitement industriel des viandes (sauf appareils de cuisson et autres appareils thermiques ainsi que les installations de refroidissement et de congélation)")</f>
        <v xml:space="preserve">   Machines et appareils pour le traitement industriel des viandes (sauf appareils de cuisson et autres appareils thermiques ainsi que les installations de refroidissement et de congélation)</v>
      </c>
      <c r="C7203">
        <v>1034550</v>
      </c>
      <c r="D7203">
        <v>2340</v>
      </c>
    </row>
    <row r="7204" spans="1:4" x14ac:dyDescent="0.25">
      <c r="A7204" t="str">
        <f>T("   845011")</f>
        <v xml:space="preserve">   845011</v>
      </c>
      <c r="B7204" t="str">
        <f>T("   Machines à laver le linge entièrement automatiques, d'une capacité unitaire exprimée en poids de linge sec &lt;= 6 kg")</f>
        <v xml:space="preserve">   Machines à laver le linge entièrement automatiques, d'une capacité unitaire exprimée en poids de linge sec &lt;= 6 kg</v>
      </c>
      <c r="C7204">
        <v>5857067</v>
      </c>
      <c r="D7204">
        <v>4811</v>
      </c>
    </row>
    <row r="7205" spans="1:4" x14ac:dyDescent="0.25">
      <c r="A7205" t="str">
        <f>T("   846291")</f>
        <v xml:space="preserve">   846291</v>
      </c>
      <c r="B7205" t="str">
        <f>T("   Presses hydrauliques pour le travail des métaux ou des carbures métalliques (à l'excl. des presses à forger, à rouler, à cintrer, à dresses ou à planer)")</f>
        <v xml:space="preserve">   Presses hydrauliques pour le travail des métaux ou des carbures métalliques (à l'excl. des presses à forger, à rouler, à cintrer, à dresses ou à planer)</v>
      </c>
      <c r="C7205">
        <v>35583056</v>
      </c>
      <c r="D7205">
        <v>16000</v>
      </c>
    </row>
    <row r="7206" spans="1:4" x14ac:dyDescent="0.25">
      <c r="A7206" t="str">
        <f>T("   846299")</f>
        <v xml:space="preserve">   846299</v>
      </c>
      <c r="B7206" t="str">
        <f>T("   Presses autres qu'hydrauliques pour le travail des métaux (à l'excl. des presses à forger, à rouler, à cintrer, dresser ou planer)")</f>
        <v xml:space="preserve">   Presses autres qu'hydrauliques pour le travail des métaux (à l'excl. des presses à forger, à rouler, à cintrer, dresser ou planer)</v>
      </c>
      <c r="C7206">
        <v>2454272</v>
      </c>
      <c r="D7206">
        <v>1000</v>
      </c>
    </row>
    <row r="7207" spans="1:4" x14ac:dyDescent="0.25">
      <c r="A7207" t="str">
        <f>T("   846694")</f>
        <v xml:space="preserve">   846694</v>
      </c>
      <c r="B7207" t="str">
        <f>T("   Parties et accessoires pour machines-outils pour le travail du métal avec enlèvement de matière, n.d.a.")</f>
        <v xml:space="preserve">   Parties et accessoires pour machines-outils pour le travail du métal avec enlèvement de matière, n.d.a.</v>
      </c>
      <c r="C7207">
        <v>3504965</v>
      </c>
      <c r="D7207">
        <v>43</v>
      </c>
    </row>
    <row r="7208" spans="1:4" x14ac:dyDescent="0.25">
      <c r="A7208" t="str">
        <f>T("   846719")</f>
        <v xml:space="preserve">   846719</v>
      </c>
      <c r="B7208" t="str">
        <f>T("   OUTILS PNEUMATIQUES, POUR EMPLOI À LA MAIN (À L'EXCL. DES OUTILS ROTATIFS) [01/01/1988-31/12/1994: OUTILS PNEUMATIQUES POUR EMPLOI A LA MAIN, AUTRES QUE ROTATIFS]")</f>
        <v xml:space="preserve">   OUTILS PNEUMATIQUES, POUR EMPLOI À LA MAIN (À L'EXCL. DES OUTILS ROTATIFS) [01/01/1988-31/12/1994: OUTILS PNEUMATIQUES POUR EMPLOI A LA MAIN, AUTRES QUE ROTATIFS]</v>
      </c>
      <c r="C7208">
        <v>21091</v>
      </c>
      <c r="D7208">
        <v>196</v>
      </c>
    </row>
    <row r="7209" spans="1:4" x14ac:dyDescent="0.25">
      <c r="A7209" t="str">
        <f>T("   846721")</f>
        <v xml:space="preserve">   846721</v>
      </c>
      <c r="B7209" t="str">
        <f>T("   Perceuses à moteur électrique incorporé, pour emploi à la main, y.c. les perforatrices rotatives")</f>
        <v xml:space="preserve">   Perceuses à moteur électrique incorporé, pour emploi à la main, y.c. les perforatrices rotatives</v>
      </c>
      <c r="C7209">
        <v>1086212</v>
      </c>
      <c r="D7209">
        <v>10</v>
      </c>
    </row>
    <row r="7210" spans="1:4" x14ac:dyDescent="0.25">
      <c r="A7210" t="str">
        <f>T("   847130")</f>
        <v xml:space="preserve">   847130</v>
      </c>
      <c r="B7210"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7210">
        <v>1531625</v>
      </c>
      <c r="D7210">
        <v>91</v>
      </c>
    </row>
    <row r="7211" spans="1:4" x14ac:dyDescent="0.25">
      <c r="A7211" t="str">
        <f>T("   847160")</f>
        <v xml:space="preserve">   847160</v>
      </c>
      <c r="B7211"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7211">
        <v>1725640</v>
      </c>
      <c r="D7211">
        <v>390</v>
      </c>
    </row>
    <row r="7212" spans="1:4" x14ac:dyDescent="0.25">
      <c r="A7212" t="str">
        <f>T("   847190")</f>
        <v xml:space="preserve">   847190</v>
      </c>
      <c r="B7212"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212">
        <v>1870519</v>
      </c>
      <c r="D7212">
        <v>179</v>
      </c>
    </row>
    <row r="7213" spans="1:4" x14ac:dyDescent="0.25">
      <c r="A7213" t="str">
        <f>T("   847330")</f>
        <v xml:space="preserve">   847330</v>
      </c>
      <c r="B7213" t="str">
        <f>T("   Parties et accessoires pour machines automatiques de traitement de l'information ou pour autres machines du n° 8471, n.d.a.")</f>
        <v xml:space="preserve">   Parties et accessoires pour machines automatiques de traitement de l'information ou pour autres machines du n° 8471, n.d.a.</v>
      </c>
      <c r="C7213">
        <v>450343</v>
      </c>
      <c r="D7213">
        <v>11</v>
      </c>
    </row>
    <row r="7214" spans="1:4" x14ac:dyDescent="0.25">
      <c r="A7214" t="str">
        <f>T("   847431")</f>
        <v xml:space="preserve">   847431</v>
      </c>
      <c r="B7214"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7214">
        <v>124646456</v>
      </c>
      <c r="D7214">
        <v>113939</v>
      </c>
    </row>
    <row r="7215" spans="1:4" x14ac:dyDescent="0.25">
      <c r="A7215" t="str">
        <f>T("   847439")</f>
        <v xml:space="preserve">   847439</v>
      </c>
      <c r="B7215"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7215">
        <v>1857481</v>
      </c>
      <c r="D7215">
        <v>8050</v>
      </c>
    </row>
    <row r="7216" spans="1:4" x14ac:dyDescent="0.25">
      <c r="A7216" t="str">
        <f>T("   847480")</f>
        <v xml:space="preserve">   847480</v>
      </c>
      <c r="B7216" t="s">
        <v>437</v>
      </c>
      <c r="C7216">
        <v>3624686</v>
      </c>
      <c r="D7216">
        <v>12980</v>
      </c>
    </row>
    <row r="7217" spans="1:4" x14ac:dyDescent="0.25">
      <c r="A7217" t="str">
        <f>T("   847490")</f>
        <v xml:space="preserve">   847490</v>
      </c>
      <c r="B7217" t="str">
        <f>T("   Parties des machines et appareils pour le travail des matières minérales du n° 8474, n.d.a.")</f>
        <v xml:space="preserve">   Parties des machines et appareils pour le travail des matières minérales du n° 8474, n.d.a.</v>
      </c>
      <c r="C7217">
        <v>8291217</v>
      </c>
      <c r="D7217">
        <v>7341</v>
      </c>
    </row>
    <row r="7218" spans="1:4" x14ac:dyDescent="0.25">
      <c r="A7218" t="str">
        <f>T("   847510")</f>
        <v xml:space="preserve">   847510</v>
      </c>
      <c r="B7218" t="str">
        <f>T("   Machines pour l'assemblage des lampes, tubes ou valves électriques ou électroniques ou des lampes pour la production de la lumière-éclair, qui comportent une enveloppe en verre")</f>
        <v xml:space="preserve">   Machines pour l'assemblage des lampes, tubes ou valves électriques ou électroniques ou des lampes pour la production de la lumière-éclair, qui comportent une enveloppe en verre</v>
      </c>
      <c r="C7218">
        <v>1415850</v>
      </c>
      <c r="D7218">
        <v>12</v>
      </c>
    </row>
    <row r="7219" spans="1:4" x14ac:dyDescent="0.25">
      <c r="A7219" t="str">
        <f>T("   848060")</f>
        <v xml:space="preserve">   848060</v>
      </c>
      <c r="B7219" t="str">
        <f>T("   Moules pour les matières minérales (autres qu'en graphite ou autres formes de carbone, autres qu'en produits céramiques ou en verre)")</f>
        <v xml:space="preserve">   Moules pour les matières minérales (autres qu'en graphite ou autres formes de carbone, autres qu'en produits céramiques ou en verre)</v>
      </c>
      <c r="C7219">
        <v>1700015</v>
      </c>
      <c r="D7219">
        <v>7033</v>
      </c>
    </row>
    <row r="7220" spans="1:4" x14ac:dyDescent="0.25">
      <c r="A7220" t="str">
        <f>T("   848180")</f>
        <v xml:space="preserve">   848180</v>
      </c>
      <c r="B7220"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7220">
        <v>3033011</v>
      </c>
      <c r="D7220">
        <v>113</v>
      </c>
    </row>
    <row r="7221" spans="1:4" x14ac:dyDescent="0.25">
      <c r="A7221" t="str">
        <f>T("   848330")</f>
        <v xml:space="preserve">   848330</v>
      </c>
      <c r="B7221" t="str">
        <f>T("   Paliers pour machines, sans roulements incorporés; coussinets et coquilles de coussinets pour machines")</f>
        <v xml:space="preserve">   Paliers pour machines, sans roulements incorporés; coussinets et coquilles de coussinets pour machines</v>
      </c>
      <c r="C7221">
        <v>367508</v>
      </c>
      <c r="D7221">
        <v>82</v>
      </c>
    </row>
    <row r="7222" spans="1:4" x14ac:dyDescent="0.25">
      <c r="A7222" t="str">
        <f>T("   850120")</f>
        <v xml:space="preserve">   850120</v>
      </c>
      <c r="B7222" t="str">
        <f>T("   Moteurs universels, puissance &gt; 37,5 W")</f>
        <v xml:space="preserve">   Moteurs universels, puissance &gt; 37,5 W</v>
      </c>
      <c r="C7222">
        <v>1775028</v>
      </c>
      <c r="D7222">
        <v>2041</v>
      </c>
    </row>
    <row r="7223" spans="1:4" x14ac:dyDescent="0.25">
      <c r="A7223" t="str">
        <f>T("   850140")</f>
        <v xml:space="preserve">   850140</v>
      </c>
      <c r="B7223" t="str">
        <f>T("   Moteurs à courant alternatif, monophasés")</f>
        <v xml:space="preserve">   Moteurs à courant alternatif, monophasés</v>
      </c>
      <c r="C7223">
        <v>14961</v>
      </c>
      <c r="D7223">
        <v>9</v>
      </c>
    </row>
    <row r="7224" spans="1:4" x14ac:dyDescent="0.25">
      <c r="A7224" t="str">
        <f>T("   850152")</f>
        <v xml:space="preserve">   850152</v>
      </c>
      <c r="B7224" t="str">
        <f>T("   Moteurs à courant alternatif, polyphasés, puissance &gt; 750 W mais &lt;= 75 kW")</f>
        <v xml:space="preserve">   Moteurs à courant alternatif, polyphasés, puissance &gt; 750 W mais &lt;= 75 kW</v>
      </c>
      <c r="C7224">
        <v>105807</v>
      </c>
      <c r="D7224">
        <v>150</v>
      </c>
    </row>
    <row r="7225" spans="1:4" x14ac:dyDescent="0.25">
      <c r="A7225" t="str">
        <f>T("   850211")</f>
        <v xml:space="preserve">   850211</v>
      </c>
      <c r="B7225" t="s">
        <v>444</v>
      </c>
      <c r="C7225">
        <v>359441597</v>
      </c>
      <c r="D7225">
        <v>117979</v>
      </c>
    </row>
    <row r="7226" spans="1:4" x14ac:dyDescent="0.25">
      <c r="A7226" t="str">
        <f>T("   850212")</f>
        <v xml:space="preserve">   850212</v>
      </c>
      <c r="B7226"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7226">
        <v>26665406</v>
      </c>
      <c r="D7226">
        <v>8866</v>
      </c>
    </row>
    <row r="7227" spans="1:4" x14ac:dyDescent="0.25">
      <c r="A7227" t="str">
        <f>T("   850220")</f>
        <v xml:space="preserve">   850220</v>
      </c>
      <c r="B7227" t="s">
        <v>446</v>
      </c>
      <c r="C7227">
        <v>11842821</v>
      </c>
      <c r="D7227">
        <v>9500</v>
      </c>
    </row>
    <row r="7228" spans="1:4" x14ac:dyDescent="0.25">
      <c r="A7228" t="str">
        <f>T("   850300")</f>
        <v xml:space="preserve">   850300</v>
      </c>
      <c r="B7228"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7228">
        <v>14208480</v>
      </c>
      <c r="D7228">
        <v>2850</v>
      </c>
    </row>
    <row r="7229" spans="1:4" x14ac:dyDescent="0.25">
      <c r="A7229" t="str">
        <f>T("   850440")</f>
        <v xml:space="preserve">   850440</v>
      </c>
      <c r="B7229" t="str">
        <f>T("   CONVERTISSEURS STATIQUES")</f>
        <v xml:space="preserve">   CONVERTISSEURS STATIQUES</v>
      </c>
      <c r="C7229">
        <v>3192997</v>
      </c>
      <c r="D7229">
        <v>3438</v>
      </c>
    </row>
    <row r="7230" spans="1:4" x14ac:dyDescent="0.25">
      <c r="A7230" t="str">
        <f>T("   850910")</f>
        <v xml:space="preserve">   850910</v>
      </c>
      <c r="B7230"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7230">
        <v>23967</v>
      </c>
      <c r="D7230">
        <v>12</v>
      </c>
    </row>
    <row r="7231" spans="1:4" x14ac:dyDescent="0.25">
      <c r="A7231" t="str">
        <f>T("   850940")</f>
        <v xml:space="preserve">   850940</v>
      </c>
      <c r="B7231"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7231">
        <v>1132437</v>
      </c>
      <c r="D7231">
        <v>1085</v>
      </c>
    </row>
    <row r="7232" spans="1:4" x14ac:dyDescent="0.25">
      <c r="A7232" t="str">
        <f>T("   851640")</f>
        <v xml:space="preserve">   851640</v>
      </c>
      <c r="B7232" t="str">
        <f>T("   Fers à repasser électriques")</f>
        <v xml:space="preserve">   Fers à repasser électriques</v>
      </c>
      <c r="C7232">
        <v>899261</v>
      </c>
      <c r="D7232">
        <v>1375</v>
      </c>
    </row>
    <row r="7233" spans="1:4" x14ac:dyDescent="0.25">
      <c r="A7233" t="str">
        <f>T("   851660")</f>
        <v xml:space="preserve">   851660</v>
      </c>
      <c r="B7233"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7233">
        <v>2536919</v>
      </c>
      <c r="D7233">
        <v>2430</v>
      </c>
    </row>
    <row r="7234" spans="1:4" x14ac:dyDescent="0.25">
      <c r="A7234" t="str">
        <f>T("   851671")</f>
        <v xml:space="preserve">   851671</v>
      </c>
      <c r="B7234" t="str">
        <f>T("   Appareils électriques pour la préparation du café ou du thé, pour usages domestiques")</f>
        <v xml:space="preserve">   Appareils électriques pour la préparation du café ou du thé, pour usages domestiques</v>
      </c>
      <c r="C7234">
        <v>1562582</v>
      </c>
      <c r="D7234">
        <v>1497</v>
      </c>
    </row>
    <row r="7235" spans="1:4" x14ac:dyDescent="0.25">
      <c r="A7235" t="str">
        <f>T("   851780")</f>
        <v xml:space="preserve">   851780</v>
      </c>
      <c r="B7235" t="s">
        <v>453</v>
      </c>
      <c r="C7235">
        <v>356498</v>
      </c>
      <c r="D7235">
        <v>18</v>
      </c>
    </row>
    <row r="7236" spans="1:4" x14ac:dyDescent="0.25">
      <c r="A7236" t="str">
        <f>T("   851810")</f>
        <v xml:space="preserve">   851810</v>
      </c>
      <c r="B7236" t="str">
        <f>T("   Microphones et leurs supports (autres que sans fil, avec émetteur incorporé)")</f>
        <v xml:space="preserve">   Microphones et leurs supports (autres que sans fil, avec émetteur incorporé)</v>
      </c>
      <c r="C7236">
        <v>287610</v>
      </c>
      <c r="D7236">
        <v>39</v>
      </c>
    </row>
    <row r="7237" spans="1:4" x14ac:dyDescent="0.25">
      <c r="A7237" t="str">
        <f>T("   852390")</f>
        <v xml:space="preserve">   852390</v>
      </c>
      <c r="B7237"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7237">
        <v>293293</v>
      </c>
      <c r="D7237">
        <v>2</v>
      </c>
    </row>
    <row r="7238" spans="1:4" x14ac:dyDescent="0.25">
      <c r="A7238" t="str">
        <f>T("   852491")</f>
        <v xml:space="preserve">   852491</v>
      </c>
      <c r="B7238" t="s">
        <v>459</v>
      </c>
      <c r="C7238">
        <v>30082</v>
      </c>
      <c r="D7238">
        <v>1</v>
      </c>
    </row>
    <row r="7239" spans="1:4" x14ac:dyDescent="0.25">
      <c r="A7239" t="str">
        <f>T("   852812")</f>
        <v xml:space="preserve">   852812</v>
      </c>
      <c r="B723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239">
        <v>14739533</v>
      </c>
      <c r="D7239">
        <v>3954</v>
      </c>
    </row>
    <row r="7240" spans="1:4" x14ac:dyDescent="0.25">
      <c r="A7240" t="str">
        <f>T("   852910")</f>
        <v xml:space="preserve">   852910</v>
      </c>
      <c r="B7240"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7240">
        <v>2916630</v>
      </c>
      <c r="D7240">
        <v>874</v>
      </c>
    </row>
    <row r="7241" spans="1:4" x14ac:dyDescent="0.25">
      <c r="A7241" t="str">
        <f>T("   853180")</f>
        <v xml:space="preserve">   853180</v>
      </c>
      <c r="B7241" t="s">
        <v>465</v>
      </c>
      <c r="C7241">
        <v>8472897</v>
      </c>
      <c r="D7241">
        <v>314</v>
      </c>
    </row>
    <row r="7242" spans="1:4" x14ac:dyDescent="0.25">
      <c r="A7242" t="str">
        <f>T("   853610")</f>
        <v xml:space="preserve">   853610</v>
      </c>
      <c r="B7242" t="str">
        <f>T("   Fusibles et coupe-circuit à fusibles, pour une tension &lt;= 1.000 V")</f>
        <v xml:space="preserve">   Fusibles et coupe-circuit à fusibles, pour une tension &lt;= 1.000 V</v>
      </c>
      <c r="C7242">
        <v>32116</v>
      </c>
      <c r="D7242">
        <v>5</v>
      </c>
    </row>
    <row r="7243" spans="1:4" x14ac:dyDescent="0.25">
      <c r="A7243" t="str">
        <f>T("   853620")</f>
        <v xml:space="preserve">   853620</v>
      </c>
      <c r="B7243" t="str">
        <f>T("   Disjoncteurs, pour une tension &lt;= 1.000 V")</f>
        <v xml:space="preserve">   Disjoncteurs, pour une tension &lt;= 1.000 V</v>
      </c>
      <c r="C7243">
        <v>2615969</v>
      </c>
      <c r="D7243">
        <v>323</v>
      </c>
    </row>
    <row r="7244" spans="1:4" x14ac:dyDescent="0.25">
      <c r="A7244" t="str">
        <f>T("   853650")</f>
        <v xml:space="preserve">   853650</v>
      </c>
      <c r="B7244" t="str">
        <f>T("   Interrupteurs, sectionneurs et commutateurs, pour une tension &lt;= 1.000 V (autres que relais et disjoncteurs)")</f>
        <v xml:space="preserve">   Interrupteurs, sectionneurs et commutateurs, pour une tension &lt;= 1.000 V (autres que relais et disjoncteurs)</v>
      </c>
      <c r="C7244">
        <v>9084464</v>
      </c>
      <c r="D7244">
        <v>10906</v>
      </c>
    </row>
    <row r="7245" spans="1:4" x14ac:dyDescent="0.25">
      <c r="A7245" t="str">
        <f>T("   853669")</f>
        <v xml:space="preserve">   853669</v>
      </c>
      <c r="B7245" t="str">
        <f>T("   Fiches et prises de courant, pour une tension &lt;= 1.000 V (sauf douilles pour lampes)")</f>
        <v xml:space="preserve">   Fiches et prises de courant, pour une tension &lt;= 1.000 V (sauf douilles pour lampes)</v>
      </c>
      <c r="C7245">
        <v>3132552</v>
      </c>
      <c r="D7245">
        <v>9795</v>
      </c>
    </row>
    <row r="7246" spans="1:4" x14ac:dyDescent="0.25">
      <c r="A7246" t="str">
        <f>T("   853690")</f>
        <v xml:space="preserve">   853690</v>
      </c>
      <c r="B7246" t="s">
        <v>467</v>
      </c>
      <c r="C7246">
        <v>16268263</v>
      </c>
      <c r="D7246">
        <v>9152</v>
      </c>
    </row>
    <row r="7247" spans="1:4" x14ac:dyDescent="0.25">
      <c r="A7247" t="str">
        <f>T("   853710")</f>
        <v xml:space="preserve">   853710</v>
      </c>
      <c r="B7247"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7247">
        <v>3477205</v>
      </c>
      <c r="D7247">
        <v>5464</v>
      </c>
    </row>
    <row r="7248" spans="1:4" x14ac:dyDescent="0.25">
      <c r="A7248" t="str">
        <f>T("   853810")</f>
        <v xml:space="preserve">   853810</v>
      </c>
      <c r="B7248" t="str">
        <f>T("   Tableaux, panneaux, consoles, pupitres, armoires et autres supports pour articles du n° 8537, dépourvus de leurs appareils")</f>
        <v xml:space="preserve">   Tableaux, panneaux, consoles, pupitres, armoires et autres supports pour articles du n° 8537, dépourvus de leurs appareils</v>
      </c>
      <c r="C7248">
        <v>3497816</v>
      </c>
      <c r="D7248">
        <v>6551</v>
      </c>
    </row>
    <row r="7249" spans="1:4" x14ac:dyDescent="0.25">
      <c r="A7249" t="str">
        <f>T("   853939")</f>
        <v xml:space="preserve">   853939</v>
      </c>
      <c r="B7249"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7249">
        <v>3288820</v>
      </c>
      <c r="D7249">
        <v>5028</v>
      </c>
    </row>
    <row r="7250" spans="1:4" x14ac:dyDescent="0.25">
      <c r="A7250" t="str">
        <f>T("   854420")</f>
        <v xml:space="preserve">   854420</v>
      </c>
      <c r="B7250" t="str">
        <f>T("   Câbles coaxiaux et autres conducteurs électriques coaxiaux, isolés")</f>
        <v xml:space="preserve">   Câbles coaxiaux et autres conducteurs électriques coaxiaux, isolés</v>
      </c>
      <c r="C7250">
        <v>15321944</v>
      </c>
      <c r="D7250">
        <v>38294</v>
      </c>
    </row>
    <row r="7251" spans="1:4" x14ac:dyDescent="0.25">
      <c r="A7251" t="str">
        <f>T("   854441")</f>
        <v xml:space="preserve">   854441</v>
      </c>
      <c r="B7251" t="str">
        <f>T("   Conducteurs électriques, pour tension &lt;= 80 V, isolés, avec pièces de connexion, n.d.a.")</f>
        <v xml:space="preserve">   Conducteurs électriques, pour tension &lt;= 80 V, isolés, avec pièces de connexion, n.d.a.</v>
      </c>
      <c r="C7251">
        <v>42183</v>
      </c>
      <c r="D7251">
        <v>393</v>
      </c>
    </row>
    <row r="7252" spans="1:4" x14ac:dyDescent="0.25">
      <c r="A7252" t="str">
        <f>T("   854449")</f>
        <v xml:space="preserve">   854449</v>
      </c>
      <c r="B7252" t="str">
        <f>T("   CONDUCTEURS ÉLECTRIQUES, POUR TENSION &lt;= 1.000 V, ISOLÉS, SANS PIÈCES DE CONNEXION, N.D.A.")</f>
        <v xml:space="preserve">   CONDUCTEURS ÉLECTRIQUES, POUR TENSION &lt;= 1.000 V, ISOLÉS, SANS PIÈCES DE CONNEXION, N.D.A.</v>
      </c>
      <c r="C7252">
        <v>35276872</v>
      </c>
      <c r="D7252">
        <v>4357</v>
      </c>
    </row>
    <row r="7253" spans="1:4" x14ac:dyDescent="0.25">
      <c r="A7253" t="str">
        <f>T("   870210")</f>
        <v xml:space="preserve">   870210</v>
      </c>
      <c r="B7253" t="s">
        <v>469</v>
      </c>
      <c r="C7253">
        <v>1200000</v>
      </c>
      <c r="D7253">
        <v>950</v>
      </c>
    </row>
    <row r="7254" spans="1:4" x14ac:dyDescent="0.25">
      <c r="A7254" t="str">
        <f>T("   870322")</f>
        <v xml:space="preserve">   870322</v>
      </c>
      <c r="B7254" t="s">
        <v>472</v>
      </c>
      <c r="C7254">
        <v>1250271</v>
      </c>
      <c r="D7254">
        <v>2000</v>
      </c>
    </row>
    <row r="7255" spans="1:4" x14ac:dyDescent="0.25">
      <c r="A7255" t="str">
        <f>T("   871200")</f>
        <v xml:space="preserve">   871200</v>
      </c>
      <c r="B7255" t="str">
        <f>T("   BICYCLETTES ET AUTRES CYCLES, -Y.C. LES TRIPORTEURS-, SANS MOTEUR")</f>
        <v xml:space="preserve">   BICYCLETTES ET AUTRES CYCLES, -Y.C. LES TRIPORTEURS-, SANS MOTEUR</v>
      </c>
      <c r="C7255">
        <v>508135</v>
      </c>
      <c r="D7255">
        <v>120</v>
      </c>
    </row>
    <row r="7256" spans="1:4" x14ac:dyDescent="0.25">
      <c r="A7256" t="str">
        <f>T("   871680")</f>
        <v xml:space="preserve">   871680</v>
      </c>
      <c r="B7256" t="str">
        <f>T("   Véhicules dirigés à la main et autres véhicules non automobiles, autres que remorques et semi-remorques")</f>
        <v xml:space="preserve">   Véhicules dirigés à la main et autres véhicules non automobiles, autres que remorques et semi-remorques</v>
      </c>
      <c r="C7256">
        <v>784049</v>
      </c>
      <c r="D7256">
        <v>2509</v>
      </c>
    </row>
    <row r="7257" spans="1:4" x14ac:dyDescent="0.25">
      <c r="A7257" t="str">
        <f>T("   900410")</f>
        <v xml:space="preserve">   900410</v>
      </c>
      <c r="B7257" t="str">
        <f>T("   Lunettes solaires")</f>
        <v xml:space="preserve">   Lunettes solaires</v>
      </c>
      <c r="C7257">
        <v>11984</v>
      </c>
      <c r="D7257">
        <v>5</v>
      </c>
    </row>
    <row r="7258" spans="1:4" x14ac:dyDescent="0.25">
      <c r="A7258" t="str">
        <f>T("   900490")</f>
        <v xml:space="preserve">   900490</v>
      </c>
      <c r="B7258"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7258">
        <v>182273</v>
      </c>
      <c r="D7258">
        <v>43</v>
      </c>
    </row>
    <row r="7259" spans="1:4" x14ac:dyDescent="0.25">
      <c r="A7259" t="str">
        <f>T("   900719")</f>
        <v xml:space="preserve">   900719</v>
      </c>
      <c r="B7259" t="str">
        <f>T("   Caméras cinématographiques, pour films d'une largeur &gt;= 16 mm (à l'excl. des films double-8 mm)")</f>
        <v xml:space="preserve">   Caméras cinématographiques, pour films d'une largeur &gt;= 16 mm (à l'excl. des films double-8 mm)</v>
      </c>
      <c r="C7259">
        <v>139491</v>
      </c>
      <c r="D7259">
        <v>50</v>
      </c>
    </row>
    <row r="7260" spans="1:4" x14ac:dyDescent="0.25">
      <c r="A7260" t="str">
        <f>T("   900911")</f>
        <v xml:space="preserve">   900911</v>
      </c>
      <c r="B7260"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7260">
        <v>2256555</v>
      </c>
      <c r="D7260">
        <v>510</v>
      </c>
    </row>
    <row r="7261" spans="1:4" x14ac:dyDescent="0.25">
      <c r="A7261" t="str">
        <f>T("   900999")</f>
        <v xml:space="preserve">   900999</v>
      </c>
      <c r="B7261"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7261">
        <v>1042163</v>
      </c>
      <c r="D7261">
        <v>230</v>
      </c>
    </row>
    <row r="7262" spans="1:4" x14ac:dyDescent="0.25">
      <c r="A7262" t="str">
        <f>T("   901590")</f>
        <v xml:space="preserve">   901590</v>
      </c>
      <c r="B7262" t="str">
        <f>T("   Parties et accessoires des instruments et appareils de géodésie, de topographie, d'arpentage, de nivellement, de photogrammétrie, d'hydrographie, d'océanographie, d'hydrologie, de météorologie ou de géophysique ainsi que des télémètres, n.d.a.")</f>
        <v xml:space="preserve">   Parties et accessoires des instruments et appareils de géodésie, de topographie, d'arpentage, de nivellement, de photogrammétrie, d'hydrographie, d'océanographie, d'hydrologie, de météorologie ou de géophysique ainsi que des télémètres, n.d.a.</v>
      </c>
      <c r="C7262">
        <v>3001690</v>
      </c>
      <c r="D7262">
        <v>1316</v>
      </c>
    </row>
    <row r="7263" spans="1:4" x14ac:dyDescent="0.25">
      <c r="A7263" t="str">
        <f>T("   901780")</f>
        <v xml:space="preserve">   901780</v>
      </c>
      <c r="B7263" t="str">
        <f>T("   Instruments de mesure de longueurs, pour emploi à la main, n.d.a.")</f>
        <v xml:space="preserve">   Instruments de mesure de longueurs, pour emploi à la main, n.d.a.</v>
      </c>
      <c r="C7263">
        <v>4794</v>
      </c>
      <c r="D7263">
        <v>62</v>
      </c>
    </row>
    <row r="7264" spans="1:4" x14ac:dyDescent="0.25">
      <c r="A7264" t="str">
        <f>T("   902000")</f>
        <v xml:space="preserve">   902000</v>
      </c>
      <c r="B7264" t="str">
        <f>T("   APPAREILS RESPIRATOIRES ET MASQUES À GAZ (À L'EXCL. DES MASQUES DE PROTECTION DÉPOURVUS DE MÉCANISME ET D'ÉLÉMENT FILTRANT AMOVIBLE AINSI QUE DES APPAREILS DE RESPIRATOIRES DE RÉANIMATION ET AUTRES APPAREILS DE THERAPIE RESPIRATOIRE)")</f>
        <v xml:space="preserve">   APPAREILS RESPIRATOIRES ET MASQUES À GAZ (À L'EXCL. DES MASQUES DE PROTECTION DÉPOURVUS DE MÉCANISME ET D'ÉLÉMENT FILTRANT AMOVIBLE AINSI QUE DES APPAREILS DE RESPIRATOIRES DE RÉANIMATION ET AUTRES APPAREILS DE THERAPIE RESPIRATOIRE)</v>
      </c>
      <c r="C7264">
        <v>6625</v>
      </c>
      <c r="D7264">
        <v>105</v>
      </c>
    </row>
    <row r="7265" spans="1:4" x14ac:dyDescent="0.25">
      <c r="A7265" t="str">
        <f>T("   903210")</f>
        <v xml:space="preserve">   903210</v>
      </c>
      <c r="B7265" t="str">
        <f>T("   Thermostats pour la régulation ou le contrôle automatiques")</f>
        <v xml:space="preserve">   Thermostats pour la régulation ou le contrôle automatiques</v>
      </c>
      <c r="C7265">
        <v>12333</v>
      </c>
      <c r="D7265">
        <v>7</v>
      </c>
    </row>
    <row r="7266" spans="1:4" x14ac:dyDescent="0.25">
      <c r="A7266" t="str">
        <f>T("   940370")</f>
        <v xml:space="preserve">   940370</v>
      </c>
      <c r="B7266"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7266">
        <v>503356</v>
      </c>
      <c r="D7266">
        <v>119</v>
      </c>
    </row>
    <row r="7267" spans="1:4" x14ac:dyDescent="0.25">
      <c r="A7267" t="str">
        <f>T("   940429")</f>
        <v xml:space="preserve">   940429</v>
      </c>
      <c r="B7267"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7267">
        <v>31484</v>
      </c>
      <c r="D7267">
        <v>340</v>
      </c>
    </row>
    <row r="7268" spans="1:4" x14ac:dyDescent="0.25">
      <c r="A7268" t="str">
        <f>T("   940510")</f>
        <v xml:space="preserve">   940510</v>
      </c>
      <c r="B7268"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7268">
        <v>153872</v>
      </c>
      <c r="D7268">
        <v>514</v>
      </c>
    </row>
    <row r="7269" spans="1:4" x14ac:dyDescent="0.25">
      <c r="A7269" t="str">
        <f>T("   940540")</f>
        <v xml:space="preserve">   940540</v>
      </c>
      <c r="B7269" t="str">
        <f>T("   Appareils d'éclairage électrique, n.d.a.")</f>
        <v xml:space="preserve">   Appareils d'éclairage électrique, n.d.a.</v>
      </c>
      <c r="C7269">
        <v>2100383</v>
      </c>
      <c r="D7269">
        <v>259</v>
      </c>
    </row>
    <row r="7270" spans="1:4" x14ac:dyDescent="0.25">
      <c r="A7270" t="str">
        <f>T("   940599")</f>
        <v xml:space="preserve">   940599</v>
      </c>
      <c r="B7270" t="str">
        <f>T("   Parties d'appareils d'éclairage, de lampes-réclames, d'enseignes lumineuses, de plaques indicatrices lumineuses, et simil., n.d.a.")</f>
        <v xml:space="preserve">   Parties d'appareils d'éclairage, de lampes-réclames, d'enseignes lumineuses, de plaques indicatrices lumineuses, et simil., n.d.a.</v>
      </c>
      <c r="C7270">
        <v>290966</v>
      </c>
      <c r="D7270">
        <v>445</v>
      </c>
    </row>
    <row r="7271" spans="1:4" x14ac:dyDescent="0.25">
      <c r="A7271" t="str">
        <f>T("   940600")</f>
        <v xml:space="preserve">   940600</v>
      </c>
      <c r="B7271" t="str">
        <f>T("   Constructions préfabriquées, même incomplètes ou non encore montées")</f>
        <v xml:space="preserve">   Constructions préfabriquées, même incomplètes ou non encore montées</v>
      </c>
      <c r="C7271">
        <v>2463389</v>
      </c>
      <c r="D7271">
        <v>3061</v>
      </c>
    </row>
    <row r="7272" spans="1:4" x14ac:dyDescent="0.25">
      <c r="A7272" t="str">
        <f>T("   950100")</f>
        <v xml:space="preserve">   950100</v>
      </c>
      <c r="B7272"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7272">
        <v>189334</v>
      </c>
      <c r="D7272">
        <v>44</v>
      </c>
    </row>
    <row r="7273" spans="1:4" x14ac:dyDescent="0.25">
      <c r="A7273" t="str">
        <f>T("   950299")</f>
        <v xml:space="preserve">   950299</v>
      </c>
      <c r="B7273" t="str">
        <f>T("   Parties et accessoires pour poupées représentant uniquement l'être humain, n.d.a.")</f>
        <v xml:space="preserve">   Parties et accessoires pour poupées représentant uniquement l'être humain, n.d.a.</v>
      </c>
      <c r="C7273">
        <v>301742</v>
      </c>
      <c r="D7273">
        <v>1405</v>
      </c>
    </row>
    <row r="7274" spans="1:4" x14ac:dyDescent="0.25">
      <c r="A7274" t="str">
        <f>T("   950390")</f>
        <v xml:space="preserve">   950390</v>
      </c>
      <c r="B7274" t="str">
        <f>T("   Jouets, n.d.a.")</f>
        <v xml:space="preserve">   Jouets, n.d.a.</v>
      </c>
      <c r="C7274">
        <v>2191920</v>
      </c>
      <c r="D7274">
        <v>2125</v>
      </c>
    </row>
    <row r="7275" spans="1:4" x14ac:dyDescent="0.25">
      <c r="A7275" t="str">
        <f>T("   950420")</f>
        <v xml:space="preserve">   950420</v>
      </c>
      <c r="B7275" t="str">
        <f>T("   BILLARDS DE TOUT GENRE ET LEURS ACCESSOIRES")</f>
        <v xml:space="preserve">   BILLARDS DE TOUT GENRE ET LEURS ACCESSOIRES</v>
      </c>
      <c r="C7275">
        <v>340339</v>
      </c>
      <c r="D7275">
        <v>420</v>
      </c>
    </row>
    <row r="7276" spans="1:4" x14ac:dyDescent="0.25">
      <c r="A7276" t="str">
        <f>T("   950699")</f>
        <v xml:space="preserve">   950699</v>
      </c>
      <c r="B7276" t="str">
        <f>T("   Articles et matériel pour le sport et les jeux de plein air, n.d.a.; piscines et pataugeoires")</f>
        <v xml:space="preserve">   Articles et matériel pour le sport et les jeux de plein air, n.d.a.; piscines et pataugeoires</v>
      </c>
      <c r="C7276">
        <v>332621</v>
      </c>
      <c r="D7276">
        <v>79</v>
      </c>
    </row>
    <row r="7277" spans="1:4" x14ac:dyDescent="0.25">
      <c r="A7277" t="str">
        <f>T("   950890")</f>
        <v xml:space="preserve">   950890</v>
      </c>
      <c r="B7277" t="s">
        <v>508</v>
      </c>
      <c r="C7277">
        <v>1015790</v>
      </c>
      <c r="D7277">
        <v>240</v>
      </c>
    </row>
    <row r="7278" spans="1:4" x14ac:dyDescent="0.25">
      <c r="A7278" t="str">
        <f>T("   960340")</f>
        <v xml:space="preserve">   960340</v>
      </c>
      <c r="B7278"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7278">
        <v>43622</v>
      </c>
      <c r="D7278">
        <v>540</v>
      </c>
    </row>
    <row r="7279" spans="1:4" x14ac:dyDescent="0.25">
      <c r="A7279" t="str">
        <f>T("   960390")</f>
        <v xml:space="preserve">   960390</v>
      </c>
      <c r="B7279"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7279">
        <v>381769</v>
      </c>
      <c r="D7279">
        <v>1146</v>
      </c>
    </row>
    <row r="7280" spans="1:4" x14ac:dyDescent="0.25">
      <c r="A7280" t="str">
        <f>T("   960810")</f>
        <v xml:space="preserve">   960810</v>
      </c>
      <c r="B7280" t="str">
        <f>T("   Stylos et crayons à bille")</f>
        <v xml:space="preserve">   Stylos et crayons à bille</v>
      </c>
      <c r="C7280">
        <v>789803</v>
      </c>
      <c r="D7280">
        <v>2300</v>
      </c>
    </row>
    <row r="7281" spans="1:4" x14ac:dyDescent="0.25">
      <c r="A7281" t="str">
        <f>T("   960990")</f>
        <v xml:space="preserve">   960990</v>
      </c>
      <c r="B7281" t="str">
        <f>T("   Crayons (sauf crayons à gaine), pastels, fusains, craies à écrire ou à dessiner et craies de tailleurs")</f>
        <v xml:space="preserve">   Crayons (sauf crayons à gaine), pastels, fusains, craies à écrire ou à dessiner et craies de tailleurs</v>
      </c>
      <c r="C7281">
        <v>823991</v>
      </c>
      <c r="D7281">
        <v>6002</v>
      </c>
    </row>
    <row r="7282" spans="1:4" x14ac:dyDescent="0.25">
      <c r="A7282" t="str">
        <f>T("   961420")</f>
        <v xml:space="preserve">   961420</v>
      </c>
      <c r="B7282" t="str">
        <f>T("   Pipes et têtes de pipes")</f>
        <v xml:space="preserve">   Pipes et têtes de pipes</v>
      </c>
      <c r="C7282">
        <v>1722784</v>
      </c>
      <c r="D7282">
        <v>10048</v>
      </c>
    </row>
    <row r="7283" spans="1:4" x14ac:dyDescent="0.25">
      <c r="A7283" t="str">
        <f>T("LI")</f>
        <v>LI</v>
      </c>
      <c r="B7283" t="str">
        <f>T("Liechtenstein")</f>
        <v>Liechtenstein</v>
      </c>
    </row>
    <row r="7284" spans="1:4" x14ac:dyDescent="0.25">
      <c r="A7284" t="str">
        <f>T("   ZZ_Total_Produit_SH6")</f>
        <v xml:space="preserve">   ZZ_Total_Produit_SH6</v>
      </c>
      <c r="B7284" t="str">
        <f>T("   ZZ_Total_Produit_SH6")</f>
        <v xml:space="preserve">   ZZ_Total_Produit_SH6</v>
      </c>
      <c r="C7284">
        <v>8434456</v>
      </c>
      <c r="D7284">
        <v>3676</v>
      </c>
    </row>
    <row r="7285" spans="1:4" x14ac:dyDescent="0.25">
      <c r="A7285" t="str">
        <f>T("   121190")</f>
        <v xml:space="preserve">   121190</v>
      </c>
      <c r="B7285" t="s">
        <v>31</v>
      </c>
      <c r="C7285">
        <v>360000</v>
      </c>
      <c r="D7285">
        <v>256</v>
      </c>
    </row>
    <row r="7286" spans="1:4" x14ac:dyDescent="0.25">
      <c r="A7286" t="str">
        <f>T("   382200")</f>
        <v xml:space="preserve">   382200</v>
      </c>
      <c r="B7286" t="s">
        <v>122</v>
      </c>
      <c r="C7286">
        <v>1132843</v>
      </c>
      <c r="D7286">
        <v>80</v>
      </c>
    </row>
    <row r="7287" spans="1:4" x14ac:dyDescent="0.25">
      <c r="A7287" t="str">
        <f>T("   732111")</f>
        <v xml:space="preserve">   732111</v>
      </c>
      <c r="B7287" t="s">
        <v>356</v>
      </c>
      <c r="C7287">
        <v>6378799</v>
      </c>
      <c r="D7287">
        <v>3200</v>
      </c>
    </row>
    <row r="7288" spans="1:4" x14ac:dyDescent="0.25">
      <c r="A7288" t="str">
        <f>T("   842199")</f>
        <v xml:space="preserve">   842199</v>
      </c>
      <c r="B7288" t="str">
        <f>T("   Parties d'appareils pour la filtration ou l'épuration des liquides ou des gaz, n.d.a.")</f>
        <v xml:space="preserve">   Parties d'appareils pour la filtration ou l'épuration des liquides ou des gaz, n.d.a.</v>
      </c>
      <c r="C7288">
        <v>562814</v>
      </c>
      <c r="D7288">
        <v>140</v>
      </c>
    </row>
    <row r="7289" spans="1:4" x14ac:dyDescent="0.25">
      <c r="A7289" t="str">
        <f>T("LK")</f>
        <v>LK</v>
      </c>
      <c r="B7289" t="str">
        <f>T("Sri Lanka")</f>
        <v>Sri Lanka</v>
      </c>
    </row>
    <row r="7290" spans="1:4" x14ac:dyDescent="0.25">
      <c r="A7290" t="str">
        <f>T("   ZZ_Total_Produit_SH6")</f>
        <v xml:space="preserve">   ZZ_Total_Produit_SH6</v>
      </c>
      <c r="B7290" t="str">
        <f>T("   ZZ_Total_Produit_SH6")</f>
        <v xml:space="preserve">   ZZ_Total_Produit_SH6</v>
      </c>
      <c r="C7290">
        <v>12415428</v>
      </c>
      <c r="D7290">
        <v>33265</v>
      </c>
    </row>
    <row r="7291" spans="1:4" x14ac:dyDescent="0.25">
      <c r="A7291" t="str">
        <f>T("   160100")</f>
        <v xml:space="preserve">   160100</v>
      </c>
      <c r="B7291" t="str">
        <f>T("   Saucisses, saucissons et produits simil., de viande, d'abats ou de sang; préparations alimentaires à base de ces produits")</f>
        <v xml:space="preserve">   Saucisses, saucissons et produits simil., de viande, d'abats ou de sang; préparations alimentaires à base de ces produits</v>
      </c>
      <c r="C7291">
        <v>8463667</v>
      </c>
      <c r="D7291">
        <v>27410</v>
      </c>
    </row>
    <row r="7292" spans="1:4" x14ac:dyDescent="0.25">
      <c r="A7292" t="str">
        <f>T("   960310")</f>
        <v xml:space="preserve">   960310</v>
      </c>
      <c r="B7292" t="str">
        <f>T("   Balais et balayettes consistant en matières végétales en bottes liées")</f>
        <v xml:space="preserve">   Balais et balayettes consistant en matières végétales en bottes liées</v>
      </c>
      <c r="C7292">
        <v>3951761</v>
      </c>
      <c r="D7292">
        <v>5855</v>
      </c>
    </row>
    <row r="7293" spans="1:4" x14ac:dyDescent="0.25">
      <c r="A7293" t="str">
        <f>T("LT")</f>
        <v>LT</v>
      </c>
      <c r="B7293" t="str">
        <f>T("Lituanie")</f>
        <v>Lituanie</v>
      </c>
    </row>
    <row r="7294" spans="1:4" x14ac:dyDescent="0.25">
      <c r="A7294" t="str">
        <f>T("   ZZ_Total_Produit_SH6")</f>
        <v xml:space="preserve">   ZZ_Total_Produit_SH6</v>
      </c>
      <c r="B7294" t="str">
        <f>T("   ZZ_Total_Produit_SH6")</f>
        <v xml:space="preserve">   ZZ_Total_Produit_SH6</v>
      </c>
      <c r="C7294">
        <v>243226177</v>
      </c>
      <c r="D7294">
        <v>508748</v>
      </c>
    </row>
    <row r="7295" spans="1:4" x14ac:dyDescent="0.25">
      <c r="A7295" t="str">
        <f>T("   020736")</f>
        <v xml:space="preserve">   020736</v>
      </c>
      <c r="B7295" t="str">
        <f>T("   Morceaux et abats comestibles de canards, d'oies ou de pintades [des espèces domestiques], congelés (à l'excl. des foies gras)")</f>
        <v xml:space="preserve">   Morceaux et abats comestibles de canards, d'oies ou de pintades [des espèces domestiques], congelés (à l'excl. des foies gras)</v>
      </c>
      <c r="C7295">
        <v>7525943</v>
      </c>
      <c r="D7295">
        <v>24500</v>
      </c>
    </row>
    <row r="7296" spans="1:4" x14ac:dyDescent="0.25">
      <c r="A7296" t="str">
        <f>T("   630900")</f>
        <v xml:space="preserve">   630900</v>
      </c>
      <c r="B7296" t="s">
        <v>273</v>
      </c>
      <c r="C7296">
        <v>232242442</v>
      </c>
      <c r="D7296">
        <v>478256</v>
      </c>
    </row>
    <row r="7297" spans="1:4" x14ac:dyDescent="0.25">
      <c r="A7297" t="str">
        <f>T("   870120")</f>
        <v xml:space="preserve">   870120</v>
      </c>
      <c r="B7297" t="str">
        <f>T("   Tracteurs routiers pour semi-remorques")</f>
        <v xml:space="preserve">   Tracteurs routiers pour semi-remorques</v>
      </c>
      <c r="C7297">
        <v>2000000</v>
      </c>
      <c r="D7297">
        <v>4500</v>
      </c>
    </row>
    <row r="7298" spans="1:4" x14ac:dyDescent="0.25">
      <c r="A7298" t="str">
        <f>T("   870421")</f>
        <v xml:space="preserve">   870421</v>
      </c>
      <c r="B7298" t="s">
        <v>478</v>
      </c>
      <c r="C7298">
        <v>1200000</v>
      </c>
      <c r="D7298">
        <v>950</v>
      </c>
    </row>
    <row r="7299" spans="1:4" x14ac:dyDescent="0.25">
      <c r="A7299" t="str">
        <f>T("   950390")</f>
        <v xml:space="preserve">   950390</v>
      </c>
      <c r="B7299" t="str">
        <f>T("   Jouets, n.d.a.")</f>
        <v xml:space="preserve">   Jouets, n.d.a.</v>
      </c>
      <c r="C7299">
        <v>257792</v>
      </c>
      <c r="D7299">
        <v>542</v>
      </c>
    </row>
    <row r="7300" spans="1:4" x14ac:dyDescent="0.25">
      <c r="A7300" t="str">
        <f>T("LU")</f>
        <v>LU</v>
      </c>
      <c r="B7300" t="str">
        <f>T("Luxembourg")</f>
        <v>Luxembourg</v>
      </c>
    </row>
    <row r="7301" spans="1:4" x14ac:dyDescent="0.25">
      <c r="A7301" t="str">
        <f>T("   ZZ_Total_Produit_SH6")</f>
        <v xml:space="preserve">   ZZ_Total_Produit_SH6</v>
      </c>
      <c r="B7301" t="str">
        <f>T("   ZZ_Total_Produit_SH6")</f>
        <v xml:space="preserve">   ZZ_Total_Produit_SH6</v>
      </c>
      <c r="C7301">
        <v>1407037134</v>
      </c>
      <c r="D7301">
        <v>3499385</v>
      </c>
    </row>
    <row r="7302" spans="1:4" x14ac:dyDescent="0.25">
      <c r="A7302" t="str">
        <f>T("   350699")</f>
        <v xml:space="preserve">   350699</v>
      </c>
      <c r="B7302" t="str">
        <f>T("   Colles et autres adhésifs préparés, n.d.a.")</f>
        <v xml:space="preserve">   Colles et autres adhésifs préparés, n.d.a.</v>
      </c>
      <c r="C7302">
        <v>554988</v>
      </c>
      <c r="D7302">
        <v>500</v>
      </c>
    </row>
    <row r="7303" spans="1:4" x14ac:dyDescent="0.25">
      <c r="A7303" t="str">
        <f>T("   491110")</f>
        <v xml:space="preserve">   491110</v>
      </c>
      <c r="B7303" t="str">
        <f>T("   Imprimés publicitaires, catalogues commerciaux et simil.")</f>
        <v xml:space="preserve">   Imprimés publicitaires, catalogues commerciaux et simil.</v>
      </c>
      <c r="C7303">
        <v>166614</v>
      </c>
      <c r="D7303">
        <v>41</v>
      </c>
    </row>
    <row r="7304" spans="1:4" x14ac:dyDescent="0.25">
      <c r="A7304" t="str">
        <f>T("   630900")</f>
        <v xml:space="preserve">   630900</v>
      </c>
      <c r="B7304" t="s">
        <v>273</v>
      </c>
      <c r="C7304">
        <v>13757345</v>
      </c>
      <c r="D7304">
        <v>18000</v>
      </c>
    </row>
    <row r="7305" spans="1:4" x14ac:dyDescent="0.25">
      <c r="A7305" t="str">
        <f>T("   721061")</f>
        <v xml:space="preserve">   721061</v>
      </c>
      <c r="B7305" t="str">
        <f>T("   Produits laminés plats, en fer ou aciers non alliés, d'une largeur &gt;= 600 mm, laminés à chaud ou à froid, revêtus d'alliages d'aluminium et de zinc")</f>
        <v xml:space="preserve">   Produits laminés plats, en fer ou aciers non alliés, d'une largeur &gt;= 600 mm, laminés à chaud ou à froid, revêtus d'alliages d'aluminium et de zinc</v>
      </c>
      <c r="C7305">
        <v>53398293</v>
      </c>
      <c r="D7305">
        <v>102332</v>
      </c>
    </row>
    <row r="7306" spans="1:4" x14ac:dyDescent="0.25">
      <c r="A7306" t="str">
        <f>T("   721391")</f>
        <v xml:space="preserve">   721391</v>
      </c>
      <c r="B7306"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7306">
        <v>1275894676</v>
      </c>
      <c r="D7306">
        <v>3249200</v>
      </c>
    </row>
    <row r="7307" spans="1:4" x14ac:dyDescent="0.25">
      <c r="A7307" t="str">
        <f>T("   721420")</f>
        <v xml:space="preserve">   721420</v>
      </c>
      <c r="B7307"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7307">
        <v>11897811</v>
      </c>
      <c r="D7307">
        <v>41980</v>
      </c>
    </row>
    <row r="7308" spans="1:4" x14ac:dyDescent="0.25">
      <c r="A7308" t="str">
        <f>T("   732619")</f>
        <v xml:space="preserve">   732619</v>
      </c>
      <c r="B7308"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7308">
        <v>26887741</v>
      </c>
      <c r="D7308">
        <v>81980</v>
      </c>
    </row>
    <row r="7309" spans="1:4" x14ac:dyDescent="0.25">
      <c r="A7309" t="str">
        <f>T("   732690")</f>
        <v xml:space="preserve">   732690</v>
      </c>
      <c r="B7309"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309">
        <v>17627344</v>
      </c>
      <c r="D7309">
        <v>3272</v>
      </c>
    </row>
    <row r="7310" spans="1:4" x14ac:dyDescent="0.25">
      <c r="A7310" t="str">
        <f>T("   846729")</f>
        <v xml:space="preserve">   846729</v>
      </c>
      <c r="B7310" t="str">
        <f>T("   Outils électromécaniques à moteur électrique incorporé, pour emploi à la main (autres que scies et perceuses)")</f>
        <v xml:space="preserve">   Outils électromécaniques à moteur électrique incorporé, pour emploi à la main (autres que scies et perceuses)</v>
      </c>
      <c r="C7310">
        <v>4226908</v>
      </c>
      <c r="D7310">
        <v>500</v>
      </c>
    </row>
    <row r="7311" spans="1:4" x14ac:dyDescent="0.25">
      <c r="A7311" t="str">
        <f>T("   851780")</f>
        <v xml:space="preserve">   851780</v>
      </c>
      <c r="B7311" t="s">
        <v>453</v>
      </c>
      <c r="C7311">
        <v>1756005</v>
      </c>
      <c r="D7311">
        <v>791</v>
      </c>
    </row>
    <row r="7312" spans="1:4" x14ac:dyDescent="0.25">
      <c r="A7312" t="str">
        <f>T("   851790")</f>
        <v xml:space="preserve">   851790</v>
      </c>
      <c r="B7312" t="s">
        <v>454</v>
      </c>
      <c r="C7312">
        <v>774688</v>
      </c>
      <c r="D7312">
        <v>489</v>
      </c>
    </row>
    <row r="7313" spans="1:4" x14ac:dyDescent="0.25">
      <c r="A7313" t="str">
        <f>T("   960340")</f>
        <v xml:space="preserve">   960340</v>
      </c>
      <c r="B7313"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7313">
        <v>94721</v>
      </c>
      <c r="D7313">
        <v>300</v>
      </c>
    </row>
    <row r="7314" spans="1:4" x14ac:dyDescent="0.25">
      <c r="A7314" t="str">
        <f>T("LV")</f>
        <v>LV</v>
      </c>
      <c r="B7314" t="str">
        <f>T("Lettonie")</f>
        <v>Lettonie</v>
      </c>
    </row>
    <row r="7315" spans="1:4" x14ac:dyDescent="0.25">
      <c r="A7315" t="str">
        <f>T("   ZZ_Total_Produit_SH6")</f>
        <v xml:space="preserve">   ZZ_Total_Produit_SH6</v>
      </c>
      <c r="B7315" t="str">
        <f>T("   ZZ_Total_Produit_SH6")</f>
        <v xml:space="preserve">   ZZ_Total_Produit_SH6</v>
      </c>
      <c r="C7315">
        <v>5600000</v>
      </c>
      <c r="D7315">
        <v>6590</v>
      </c>
    </row>
    <row r="7316" spans="1:4" x14ac:dyDescent="0.25">
      <c r="A7316" t="str">
        <f>T("   870120")</f>
        <v xml:space="preserve">   870120</v>
      </c>
      <c r="B7316" t="str">
        <f>T("   Tracteurs routiers pour semi-remorques")</f>
        <v xml:space="preserve">   Tracteurs routiers pour semi-remorques</v>
      </c>
      <c r="C7316">
        <v>2000000</v>
      </c>
      <c r="D7316">
        <v>2500</v>
      </c>
    </row>
    <row r="7317" spans="1:4" x14ac:dyDescent="0.25">
      <c r="A7317" t="str">
        <f>T("   870322")</f>
        <v xml:space="preserve">   870322</v>
      </c>
      <c r="B7317" t="s">
        <v>472</v>
      </c>
      <c r="C7317">
        <v>2400000</v>
      </c>
      <c r="D7317">
        <v>2490</v>
      </c>
    </row>
    <row r="7318" spans="1:4" x14ac:dyDescent="0.25">
      <c r="A7318" t="str">
        <f>T("   870431")</f>
        <v xml:space="preserve">   870431</v>
      </c>
      <c r="B7318" t="s">
        <v>481</v>
      </c>
      <c r="C7318">
        <v>1200000</v>
      </c>
      <c r="D7318">
        <v>1600</v>
      </c>
    </row>
    <row r="7319" spans="1:4" x14ac:dyDescent="0.25">
      <c r="A7319" t="str">
        <f>T("LY")</f>
        <v>LY</v>
      </c>
      <c r="B7319" t="str">
        <f>T("Libyenne, Jamahiriya Arabe")</f>
        <v>Libyenne, Jamahiriya Arabe</v>
      </c>
    </row>
    <row r="7320" spans="1:4" x14ac:dyDescent="0.25">
      <c r="A7320" t="str">
        <f>T("   ZZ_Total_Produit_SH6")</f>
        <v xml:space="preserve">   ZZ_Total_Produit_SH6</v>
      </c>
      <c r="B7320" t="str">
        <f>T("   ZZ_Total_Produit_SH6")</f>
        <v xml:space="preserve">   ZZ_Total_Produit_SH6</v>
      </c>
      <c r="C7320">
        <v>11304026</v>
      </c>
      <c r="D7320">
        <v>5800</v>
      </c>
    </row>
    <row r="7321" spans="1:4" x14ac:dyDescent="0.25">
      <c r="A7321" t="str">
        <f>T("   870322")</f>
        <v xml:space="preserve">   870322</v>
      </c>
      <c r="B7321" t="s">
        <v>472</v>
      </c>
      <c r="C7321">
        <v>2304026</v>
      </c>
      <c r="D7321">
        <v>2000</v>
      </c>
    </row>
    <row r="7322" spans="1:4" x14ac:dyDescent="0.25">
      <c r="A7322" t="str">
        <f>T("   940380")</f>
        <v xml:space="preserve">   940380</v>
      </c>
      <c r="B7322" t="str">
        <f>T("   Meubles en rotin, osier, bambou ou autres matières (sauf métal, bois et matières plastiques)")</f>
        <v xml:space="preserve">   Meubles en rotin, osier, bambou ou autres matières (sauf métal, bois et matières plastiques)</v>
      </c>
      <c r="C7322">
        <v>9000000</v>
      </c>
      <c r="D7322">
        <v>3800</v>
      </c>
    </row>
    <row r="7323" spans="1:4" x14ac:dyDescent="0.25">
      <c r="A7323" t="str">
        <f>T("MA")</f>
        <v>MA</v>
      </c>
      <c r="B7323" t="str">
        <f>T("Maroc")</f>
        <v>Maroc</v>
      </c>
    </row>
    <row r="7324" spans="1:4" x14ac:dyDescent="0.25">
      <c r="A7324" t="str">
        <f>T("   ZZ_Total_Produit_SH6")</f>
        <v xml:space="preserve">   ZZ_Total_Produit_SH6</v>
      </c>
      <c r="B7324" t="str">
        <f>T("   ZZ_Total_Produit_SH6")</f>
        <v xml:space="preserve">   ZZ_Total_Produit_SH6</v>
      </c>
      <c r="C7324">
        <v>3624873461.461</v>
      </c>
      <c r="D7324">
        <v>6291821</v>
      </c>
    </row>
    <row r="7325" spans="1:4" x14ac:dyDescent="0.25">
      <c r="A7325" t="str">
        <f>T("   030329")</f>
        <v xml:space="preserve">   030329</v>
      </c>
      <c r="B7325" t="str">
        <f>T("   Salmonidés, congelés (à l'excl. des saumons du Pacifique, de l'Atlantique et du Danube ainsi que des truites)")</f>
        <v xml:space="preserve">   Salmonidés, congelés (à l'excl. des saumons du Pacifique, de l'Atlantique et du Danube ainsi que des truites)</v>
      </c>
      <c r="C7325">
        <v>8903345</v>
      </c>
      <c r="D7325">
        <v>50874</v>
      </c>
    </row>
    <row r="7326" spans="1:4" x14ac:dyDescent="0.25">
      <c r="A7326" t="str">
        <f>T("   030371")</f>
        <v xml:space="preserve">   030371</v>
      </c>
      <c r="B7326" t="str">
        <f>T("   Sardines [Sardina pilchardus, Sardinops spp.], sardinelles [Sardinella spp.], sprats ou esprots [Sprattus sprattus], congelés")</f>
        <v xml:space="preserve">   Sardines [Sardina pilchardus, Sardinops spp.], sardinelles [Sardinella spp.], sprats ou esprots [Sprattus sprattus], congelés</v>
      </c>
      <c r="C7326">
        <v>4460403</v>
      </c>
      <c r="D7326">
        <v>19340</v>
      </c>
    </row>
    <row r="7327" spans="1:4" x14ac:dyDescent="0.25">
      <c r="A7327" t="str">
        <f>T("   030374")</f>
        <v xml:space="preserve">   030374</v>
      </c>
      <c r="B7327" t="str">
        <f>T("   Maquereaux [Scomber scombrus, Scomber australasicus, Scomber japonicus], congelés")</f>
        <v xml:space="preserve">   Maquereaux [Scomber scombrus, Scomber australasicus, Scomber japonicus], congelés</v>
      </c>
      <c r="C7327">
        <v>5145350</v>
      </c>
      <c r="D7327">
        <v>28000</v>
      </c>
    </row>
    <row r="7328" spans="1:4" x14ac:dyDescent="0.25">
      <c r="A7328" t="str">
        <f>T("   030379")</f>
        <v xml:space="preserve">   030379</v>
      </c>
      <c r="B7328" t="s">
        <v>17</v>
      </c>
      <c r="C7328">
        <v>628531539</v>
      </c>
      <c r="D7328">
        <v>2960666</v>
      </c>
    </row>
    <row r="7329" spans="1:4" x14ac:dyDescent="0.25">
      <c r="A7329" t="str">
        <f>T("   040510")</f>
        <v xml:space="preserve">   040510</v>
      </c>
      <c r="B7329" t="str">
        <f>T("   Beurre (sauf beurre déshydraté et ghee)")</f>
        <v xml:space="preserve">   Beurre (sauf beurre déshydraté et ghee)</v>
      </c>
      <c r="C7329">
        <v>3157791</v>
      </c>
      <c r="D7329">
        <v>5473</v>
      </c>
    </row>
    <row r="7330" spans="1:4" x14ac:dyDescent="0.25">
      <c r="A7330" t="str">
        <f>T("   040690")</f>
        <v xml:space="preserve">   040690</v>
      </c>
      <c r="B7330" t="s">
        <v>18</v>
      </c>
      <c r="C7330">
        <v>3157135</v>
      </c>
      <c r="D7330">
        <v>4000</v>
      </c>
    </row>
    <row r="7331" spans="1:4" x14ac:dyDescent="0.25">
      <c r="A7331" t="str">
        <f>T("   070519")</f>
        <v xml:space="preserve">   070519</v>
      </c>
      <c r="B7331" t="str">
        <f>T("   Laitues 'Lactuca sativa', à l'état frais ou réfrigéré (à l'excl. des laitues pommées)")</f>
        <v xml:space="preserve">   Laitues 'Lactuca sativa', à l'état frais ou réfrigéré (à l'excl. des laitues pommées)</v>
      </c>
      <c r="C7331">
        <v>179733</v>
      </c>
      <c r="D7331">
        <v>250</v>
      </c>
    </row>
    <row r="7332" spans="1:4" x14ac:dyDescent="0.25">
      <c r="A7332" t="str">
        <f>T("   071120")</f>
        <v xml:space="preserve">   071120</v>
      </c>
      <c r="B7332" t="str">
        <f>T("   Olives, conservées provisoirement [p.ex. au moyen de gaz sulfureux ou dans de l'eau salée, soufrée ou additionnée d'autres substances servant à assurer provisoirement leur conservation], mais impropres à l'alimentation en l'état")</f>
        <v xml:space="preserve">   Olives, conservées provisoirement [p.ex. au moyen de gaz sulfureux ou dans de l'eau salée, soufrée ou additionnée d'autres substances servant à assurer provisoirement leur conservation], mais impropres à l'alimentation en l'état</v>
      </c>
      <c r="C7332">
        <v>2090000</v>
      </c>
      <c r="D7332">
        <v>15000</v>
      </c>
    </row>
    <row r="7333" spans="1:4" x14ac:dyDescent="0.25">
      <c r="A7333" t="str">
        <f>T("   071140")</f>
        <v xml:space="preserve">   071140</v>
      </c>
      <c r="B7333" t="str">
        <f>T("   Concombres et cornichons, conservés provisoirement [p.ex. au moyen de gaz sulfureux ou dans de l'eau salée, soufrée ou additionnée d'autres substances servant à assurer provisoirement leur conservation], mais impropres à l'alimentation en l'état")</f>
        <v xml:space="preserve">   Concombres et cornichons, conservés provisoirement [p.ex. au moyen de gaz sulfureux ou dans de l'eau salée, soufrée ou additionnée d'autres substances servant à assurer provisoirement leur conservation], mais impropres à l'alimentation en l'état</v>
      </c>
      <c r="C7333">
        <v>925000</v>
      </c>
      <c r="D7333">
        <v>7200</v>
      </c>
    </row>
    <row r="7334" spans="1:4" x14ac:dyDescent="0.25">
      <c r="A7334" t="str">
        <f>T("   151190")</f>
        <v xml:space="preserve">   151190</v>
      </c>
      <c r="B7334" t="str">
        <f>T("   Huile de palme et ses fractions, même raffinées, mais non chimiquement modifiées (à l'excl. de l'huile de palme brute)")</f>
        <v xml:space="preserve">   Huile de palme et ses fractions, même raffinées, mais non chimiquement modifiées (à l'excl. de l'huile de palme brute)</v>
      </c>
      <c r="C7334">
        <v>38903448.461000003</v>
      </c>
      <c r="D7334">
        <v>106216</v>
      </c>
    </row>
    <row r="7335" spans="1:4" x14ac:dyDescent="0.25">
      <c r="A7335" t="str">
        <f>T("   160420")</f>
        <v xml:space="preserve">   160420</v>
      </c>
      <c r="B7335" t="str">
        <f>T("   Préparations et conserves de poissons (à l'excl. des préparations et conserves de poissons entiers ou en morceaux)")</f>
        <v xml:space="preserve">   Préparations et conserves de poissons (à l'excl. des préparations et conserves de poissons entiers ou en morceaux)</v>
      </c>
      <c r="C7335">
        <v>10915000</v>
      </c>
      <c r="D7335">
        <v>57600</v>
      </c>
    </row>
    <row r="7336" spans="1:4" x14ac:dyDescent="0.25">
      <c r="A7336" t="str">
        <f>T("   190240")</f>
        <v xml:space="preserve">   190240</v>
      </c>
      <c r="B7336" t="str">
        <f>T("   Couscous, même préparé")</f>
        <v xml:space="preserve">   Couscous, même préparé</v>
      </c>
      <c r="C7336">
        <v>6389993</v>
      </c>
      <c r="D7336">
        <v>14189</v>
      </c>
    </row>
    <row r="7337" spans="1:4" x14ac:dyDescent="0.25">
      <c r="A7337" t="str">
        <f>T("   200799")</f>
        <v xml:space="preserve">   200799</v>
      </c>
      <c r="B7337" t="s">
        <v>55</v>
      </c>
      <c r="C7337">
        <v>264352</v>
      </c>
      <c r="D7337">
        <v>5000</v>
      </c>
    </row>
    <row r="7338" spans="1:4" x14ac:dyDescent="0.25">
      <c r="A7338" t="str">
        <f>T("   200912")</f>
        <v xml:space="preserve">   200912</v>
      </c>
      <c r="B7338" t="str">
        <f>T("   Jus d'orange, non fermentés, sans addition d'alcool, avec ou sans addition de sucre ou d'autres édulcorants, d'une valeur Brix &lt;= 20 à 20°C (à l'excl. des jus congelés)")</f>
        <v xml:space="preserve">   Jus d'orange, non fermentés, sans addition d'alcool, avec ou sans addition de sucre ou d'autres édulcorants, d'une valeur Brix &lt;= 20 à 20°C (à l'excl. des jus congelés)</v>
      </c>
      <c r="C7338">
        <v>1445073</v>
      </c>
      <c r="D7338">
        <v>6025</v>
      </c>
    </row>
    <row r="7339" spans="1:4" x14ac:dyDescent="0.25">
      <c r="A7339" t="str">
        <f>T("   220290")</f>
        <v xml:space="preserve">   220290</v>
      </c>
      <c r="B7339" t="str">
        <f>T("   BOISSONS NON-ALCOOLIQUES (À L'EXCL. DES EAUX, DES JUS DE FRUITS OU DE LÉGUMES AINSI QUE DU LAIT)")</f>
        <v xml:space="preserve">   BOISSONS NON-ALCOOLIQUES (À L'EXCL. DES EAUX, DES JUS DE FRUITS OU DE LÉGUMES AINSI QUE DU LAIT)</v>
      </c>
      <c r="C7339">
        <v>5434176</v>
      </c>
      <c r="D7339">
        <v>11045</v>
      </c>
    </row>
    <row r="7340" spans="1:4" x14ac:dyDescent="0.25">
      <c r="A7340" t="str">
        <f>T("   252020")</f>
        <v xml:space="preserve">   252020</v>
      </c>
      <c r="B7340" t="str">
        <f>T("   Plâtres, même colorés ou additionnés de faibles quantités d'accélérateurs ou de retardateurs")</f>
        <v xml:space="preserve">   Plâtres, même colorés ou additionnés de faibles quantités d'accélérateurs ou de retardateurs</v>
      </c>
      <c r="C7340">
        <v>5912462</v>
      </c>
      <c r="D7340">
        <v>116800</v>
      </c>
    </row>
    <row r="7341" spans="1:4" x14ac:dyDescent="0.25">
      <c r="A7341" t="str">
        <f>T("   271019")</f>
        <v xml:space="preserve">   271019</v>
      </c>
      <c r="B7341" t="str">
        <f>T("   Huiles moyennes et préparations, de pétrole ou de minéraux bitumineux, n.d.a.")</f>
        <v xml:space="preserve">   Huiles moyennes et préparations, de pétrole ou de minéraux bitumineux, n.d.a.</v>
      </c>
      <c r="C7341">
        <v>10752628</v>
      </c>
      <c r="D7341">
        <v>32161</v>
      </c>
    </row>
    <row r="7342" spans="1:4" x14ac:dyDescent="0.25">
      <c r="A7342" t="str">
        <f>T("   293610")</f>
        <v xml:space="preserve">   293610</v>
      </c>
      <c r="B7342" t="str">
        <f>T("   Provitamines, non mélangées")</f>
        <v xml:space="preserve">   Provitamines, non mélangées</v>
      </c>
      <c r="C7342">
        <v>1789459</v>
      </c>
      <c r="D7342">
        <v>160</v>
      </c>
    </row>
    <row r="7343" spans="1:4" x14ac:dyDescent="0.25">
      <c r="A7343" t="str">
        <f>T("   300490")</f>
        <v xml:space="preserve">   300490</v>
      </c>
      <c r="B7343" t="s">
        <v>79</v>
      </c>
      <c r="C7343">
        <v>129775218</v>
      </c>
      <c r="D7343">
        <v>2618</v>
      </c>
    </row>
    <row r="7344" spans="1:4" x14ac:dyDescent="0.25">
      <c r="A7344" t="str">
        <f>T("   330499")</f>
        <v xml:space="preserve">   330499</v>
      </c>
      <c r="B7344" t="s">
        <v>97</v>
      </c>
      <c r="C7344">
        <v>1785523</v>
      </c>
      <c r="D7344">
        <v>1600</v>
      </c>
    </row>
    <row r="7345" spans="1:4" x14ac:dyDescent="0.25">
      <c r="A7345" t="str">
        <f>T("   330510")</f>
        <v xml:space="preserve">   330510</v>
      </c>
      <c r="B7345" t="str">
        <f>T("   Shampooings")</f>
        <v xml:space="preserve">   Shampooings</v>
      </c>
      <c r="C7345">
        <v>1710744</v>
      </c>
      <c r="D7345">
        <v>1700</v>
      </c>
    </row>
    <row r="7346" spans="1:4" x14ac:dyDescent="0.25">
      <c r="A7346" t="str">
        <f>T("   340120")</f>
        <v xml:space="preserve">   340120</v>
      </c>
      <c r="B7346" t="str">
        <f>T("   Savons en flocons, en paillettes, en granulés ou en poudres et savons liquides ou pâteux")</f>
        <v xml:space="preserve">   Savons en flocons, en paillettes, en granulés ou en poudres et savons liquides ou pâteux</v>
      </c>
      <c r="C7346">
        <v>1699592</v>
      </c>
      <c r="D7346">
        <v>1700</v>
      </c>
    </row>
    <row r="7347" spans="1:4" x14ac:dyDescent="0.25">
      <c r="A7347" t="str">
        <f>T("   390410")</f>
        <v xml:space="preserve">   390410</v>
      </c>
      <c r="B7347" t="str">
        <f>T("   Poly[chlorure de vinyle], sous formes primaires, non mélangé à d'autres substances")</f>
        <v xml:space="preserve">   Poly[chlorure de vinyle], sous formes primaires, non mélangé à d'autres substances</v>
      </c>
      <c r="C7347">
        <v>30740234</v>
      </c>
      <c r="D7347">
        <v>36000</v>
      </c>
    </row>
    <row r="7348" spans="1:4" x14ac:dyDescent="0.25">
      <c r="A7348" t="str">
        <f>T("   391729")</f>
        <v xml:space="preserve">   391729</v>
      </c>
      <c r="B7348"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7348">
        <v>3277000</v>
      </c>
      <c r="D7348">
        <v>3977</v>
      </c>
    </row>
    <row r="7349" spans="1:4" x14ac:dyDescent="0.25">
      <c r="A7349" t="str">
        <f>T("   391739")</f>
        <v xml:space="preserve">   391739</v>
      </c>
      <c r="B7349"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7349">
        <v>1285000</v>
      </c>
      <c r="D7349">
        <v>1625</v>
      </c>
    </row>
    <row r="7350" spans="1:4" x14ac:dyDescent="0.25">
      <c r="A7350" t="str">
        <f>T("   392690")</f>
        <v xml:space="preserve">   392690</v>
      </c>
      <c r="B7350" t="str">
        <f>T("   Ouvrages en matières plastiques et ouvrages en autres matières du n° 3901 à 3914, n.d.a.")</f>
        <v xml:space="preserve">   Ouvrages en matières plastiques et ouvrages en autres matières du n° 3901 à 3914, n.d.a.</v>
      </c>
      <c r="C7350">
        <v>1547410</v>
      </c>
      <c r="D7350">
        <v>1615</v>
      </c>
    </row>
    <row r="7351" spans="1:4" x14ac:dyDescent="0.25">
      <c r="A7351" t="str">
        <f>T("   441900")</f>
        <v xml:space="preserve">   441900</v>
      </c>
      <c r="B7351" t="s">
        <v>183</v>
      </c>
      <c r="C7351">
        <v>198474</v>
      </c>
      <c r="D7351">
        <v>157</v>
      </c>
    </row>
    <row r="7352" spans="1:4" x14ac:dyDescent="0.25">
      <c r="A7352" t="str">
        <f>T("   480255")</f>
        <v xml:space="preserve">   480255</v>
      </c>
      <c r="B7352" t="s">
        <v>187</v>
      </c>
      <c r="C7352">
        <v>28721208</v>
      </c>
      <c r="D7352">
        <v>49646</v>
      </c>
    </row>
    <row r="7353" spans="1:4" x14ac:dyDescent="0.25">
      <c r="A7353" t="str">
        <f>T("   481930")</f>
        <v xml:space="preserve">   481930</v>
      </c>
      <c r="B7353" t="str">
        <f>T("   Sacs, en papier, carton, ouate de cellulose ou nappes de fibres de cellulose, d'une largeur à la base &gt;= 40 cm")</f>
        <v xml:space="preserve">   Sacs, en papier, carton, ouate de cellulose ou nappes de fibres de cellulose, d'une largeur à la base &gt;= 40 cm</v>
      </c>
      <c r="C7353">
        <v>1389449083</v>
      </c>
      <c r="D7353">
        <v>2097464</v>
      </c>
    </row>
    <row r="7354" spans="1:4" x14ac:dyDescent="0.25">
      <c r="A7354" t="str">
        <f>T("   490199")</f>
        <v xml:space="preserve">   490199</v>
      </c>
      <c r="B735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354">
        <v>131192</v>
      </c>
      <c r="D7354">
        <v>378</v>
      </c>
    </row>
    <row r="7355" spans="1:4" x14ac:dyDescent="0.25">
      <c r="A7355" t="str">
        <f>T("   491110")</f>
        <v xml:space="preserve">   491110</v>
      </c>
      <c r="B7355" t="str">
        <f>T("   Imprimés publicitaires, catalogues commerciaux et simil.")</f>
        <v xml:space="preserve">   Imprimés publicitaires, catalogues commerciaux et simil.</v>
      </c>
      <c r="C7355">
        <v>209839</v>
      </c>
      <c r="D7355">
        <v>351</v>
      </c>
    </row>
    <row r="7356" spans="1:4" x14ac:dyDescent="0.25">
      <c r="A7356" t="str">
        <f>T("   611490")</f>
        <v xml:space="preserve">   611490</v>
      </c>
      <c r="B7356"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7356">
        <v>2849000</v>
      </c>
      <c r="D7356">
        <v>13800</v>
      </c>
    </row>
    <row r="7357" spans="1:4" x14ac:dyDescent="0.25">
      <c r="A7357" t="str">
        <f>T("   620349")</f>
        <v xml:space="preserve">   620349</v>
      </c>
      <c r="B7357" t="s">
        <v>261</v>
      </c>
      <c r="C7357">
        <v>23805444</v>
      </c>
      <c r="D7357">
        <v>2477</v>
      </c>
    </row>
    <row r="7358" spans="1:4" x14ac:dyDescent="0.25">
      <c r="A7358" t="str">
        <f>T("   630900")</f>
        <v xml:space="preserve">   630900</v>
      </c>
      <c r="B7358" t="s">
        <v>273</v>
      </c>
      <c r="C7358">
        <v>31475716</v>
      </c>
      <c r="D7358">
        <v>46538</v>
      </c>
    </row>
    <row r="7359" spans="1:4" x14ac:dyDescent="0.25">
      <c r="A7359" t="str">
        <f>T("   640520")</f>
        <v xml:space="preserve">   640520</v>
      </c>
      <c r="B7359" t="str">
        <f>T("   Chaussures à dessus en matières textiles (sauf à semelles extérieures en caoutchouc, matière plastique, cuir naturel ou reconstitué et sauf chaussures d'orthopédie et chaussures ayant le caractère de jouets)")</f>
        <v xml:space="preserve">   Chaussures à dessus en matières textiles (sauf à semelles extérieures en caoutchouc, matière plastique, cuir naturel ou reconstitué et sauf chaussures d'orthopédie et chaussures ayant le caractère de jouets)</v>
      </c>
      <c r="C7359">
        <v>413255</v>
      </c>
      <c r="D7359">
        <v>11</v>
      </c>
    </row>
    <row r="7360" spans="1:4" x14ac:dyDescent="0.25">
      <c r="A7360" t="str">
        <f>T("   640590")</f>
        <v xml:space="preserve">   640590</v>
      </c>
      <c r="B7360" t="s">
        <v>283</v>
      </c>
      <c r="C7360">
        <v>416000</v>
      </c>
      <c r="D7360">
        <v>374</v>
      </c>
    </row>
    <row r="7361" spans="1:4" x14ac:dyDescent="0.25">
      <c r="A7361" t="str">
        <f>T("   650610")</f>
        <v xml:space="preserve">   650610</v>
      </c>
      <c r="B7361" t="str">
        <f>T("   Coiffures de sécurité, même garnies")</f>
        <v xml:space="preserve">   Coiffures de sécurité, même garnies</v>
      </c>
      <c r="C7361">
        <v>1091517</v>
      </c>
      <c r="D7361">
        <v>113</v>
      </c>
    </row>
    <row r="7362" spans="1:4" x14ac:dyDescent="0.25">
      <c r="A7362" t="str">
        <f>T("   691090")</f>
        <v xml:space="preserve">   691090</v>
      </c>
      <c r="B7362" t="s">
        <v>310</v>
      </c>
      <c r="C7362">
        <v>1340000</v>
      </c>
      <c r="D7362">
        <v>1680</v>
      </c>
    </row>
    <row r="7363" spans="1:4" x14ac:dyDescent="0.25">
      <c r="A7363" t="str">
        <f>T("   700991")</f>
        <v xml:space="preserve">   700991</v>
      </c>
      <c r="B7363"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7363">
        <v>500497</v>
      </c>
      <c r="D7363">
        <v>775</v>
      </c>
    </row>
    <row r="7364" spans="1:4" x14ac:dyDescent="0.25">
      <c r="A7364" t="str">
        <f>T("   730820")</f>
        <v xml:space="preserve">   730820</v>
      </c>
      <c r="B7364" t="str">
        <f>T("   Tours et pylônes, en fer ou en acier")</f>
        <v xml:space="preserve">   Tours et pylônes, en fer ou en acier</v>
      </c>
      <c r="C7364">
        <v>10010669</v>
      </c>
      <c r="D7364">
        <v>10910</v>
      </c>
    </row>
    <row r="7365" spans="1:4" x14ac:dyDescent="0.25">
      <c r="A7365" t="str">
        <f>T("   730890")</f>
        <v xml:space="preserve">   730890</v>
      </c>
      <c r="B7365" t="s">
        <v>349</v>
      </c>
      <c r="C7365">
        <v>62316</v>
      </c>
      <c r="D7365">
        <v>64</v>
      </c>
    </row>
    <row r="7366" spans="1:4" x14ac:dyDescent="0.25">
      <c r="A7366" t="str">
        <f>T("   732399")</f>
        <v xml:space="preserve">   732399</v>
      </c>
      <c r="B7366" t="s">
        <v>363</v>
      </c>
      <c r="C7366">
        <v>5871636</v>
      </c>
      <c r="D7366">
        <v>3511</v>
      </c>
    </row>
    <row r="7367" spans="1:4" x14ac:dyDescent="0.25">
      <c r="A7367" t="str">
        <f>T("   732690")</f>
        <v xml:space="preserve">   732690</v>
      </c>
      <c r="B7367"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367">
        <v>471784143</v>
      </c>
      <c r="D7367">
        <v>117806</v>
      </c>
    </row>
    <row r="7368" spans="1:4" x14ac:dyDescent="0.25">
      <c r="A7368" t="str">
        <f>T("   761090")</f>
        <v xml:space="preserve">   761090</v>
      </c>
      <c r="B7368"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7368">
        <v>150871</v>
      </c>
      <c r="D7368">
        <v>64</v>
      </c>
    </row>
    <row r="7369" spans="1:4" x14ac:dyDescent="0.25">
      <c r="A7369" t="str">
        <f>T("   761490")</f>
        <v xml:space="preserve">   761490</v>
      </c>
      <c r="B7369" t="s">
        <v>372</v>
      </c>
      <c r="C7369">
        <v>260975864</v>
      </c>
      <c r="D7369">
        <v>70801</v>
      </c>
    </row>
    <row r="7370" spans="1:4" x14ac:dyDescent="0.25">
      <c r="A7370" t="str">
        <f>T("   761519")</f>
        <v xml:space="preserve">   761519</v>
      </c>
      <c r="B7370" t="s">
        <v>373</v>
      </c>
      <c r="C7370">
        <v>1110199</v>
      </c>
      <c r="D7370">
        <v>447</v>
      </c>
    </row>
    <row r="7371" spans="1:4" x14ac:dyDescent="0.25">
      <c r="A7371" t="str">
        <f>T("   790500")</f>
        <v xml:space="preserve">   790500</v>
      </c>
      <c r="B7371" t="str">
        <f>T("   TOLES, BANDES ET FEUILLES EN ZINC")</f>
        <v xml:space="preserve">   TOLES, BANDES ET FEUILLES EN ZINC</v>
      </c>
      <c r="C7371">
        <v>8653226</v>
      </c>
      <c r="D7371">
        <v>25726</v>
      </c>
    </row>
    <row r="7372" spans="1:4" x14ac:dyDescent="0.25">
      <c r="A7372" t="str">
        <f>T("   820551")</f>
        <v xml:space="preserve">   820551</v>
      </c>
      <c r="B7372" t="str">
        <f>T("   Outils à main d'économie domestique, non mécaniques, avec partie travaillante en métaux communs, n.d.a.")</f>
        <v xml:space="preserve">   Outils à main d'économie domestique, non mécaniques, avec partie travaillante en métaux communs, n.d.a.</v>
      </c>
      <c r="C7372">
        <v>1360809</v>
      </c>
      <c r="D7372">
        <v>509</v>
      </c>
    </row>
    <row r="7373" spans="1:4" x14ac:dyDescent="0.25">
      <c r="A7373" t="str">
        <f>T("   821599")</f>
        <v xml:space="preserve">   821599</v>
      </c>
      <c r="B7373" t="s">
        <v>380</v>
      </c>
      <c r="C7373">
        <v>3867153</v>
      </c>
      <c r="D7373">
        <v>1798</v>
      </c>
    </row>
    <row r="7374" spans="1:4" x14ac:dyDescent="0.25">
      <c r="A7374" t="str">
        <f>T("   841510")</f>
        <v xml:space="preserve">   841510</v>
      </c>
      <c r="B7374" t="s">
        <v>400</v>
      </c>
      <c r="C7374">
        <v>725409</v>
      </c>
      <c r="D7374">
        <v>2220</v>
      </c>
    </row>
    <row r="7375" spans="1:4" x14ac:dyDescent="0.25">
      <c r="A7375" t="str">
        <f>T("   841810")</f>
        <v xml:space="preserve">   841810</v>
      </c>
      <c r="B7375" t="str">
        <f>T("   Réfrigérateurs et congélateurs-conservateurs combinés, avec portes extérieures séparées")</f>
        <v xml:space="preserve">   Réfrigérateurs et congélateurs-conservateurs combinés, avec portes extérieures séparées</v>
      </c>
      <c r="C7375">
        <v>1501491</v>
      </c>
      <c r="D7375">
        <v>7000</v>
      </c>
    </row>
    <row r="7376" spans="1:4" x14ac:dyDescent="0.25">
      <c r="A7376" t="str">
        <f>T("   842310")</f>
        <v xml:space="preserve">   842310</v>
      </c>
      <c r="B7376" t="str">
        <f>T("   Pèse-personnes, y.c. les pèse-bébés; balances de ménage")</f>
        <v xml:space="preserve">   Pèse-personnes, y.c. les pèse-bébés; balances de ménage</v>
      </c>
      <c r="C7376">
        <v>248091</v>
      </c>
      <c r="D7376">
        <v>108</v>
      </c>
    </row>
    <row r="7377" spans="1:4" x14ac:dyDescent="0.25">
      <c r="A7377" t="str">
        <f>T("   847190")</f>
        <v xml:space="preserve">   847190</v>
      </c>
      <c r="B737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377">
        <v>239675</v>
      </c>
      <c r="D7377">
        <v>4</v>
      </c>
    </row>
    <row r="7378" spans="1:4" x14ac:dyDescent="0.25">
      <c r="A7378" t="str">
        <f>T("   847290")</f>
        <v xml:space="preserve">   847290</v>
      </c>
      <c r="B7378" t="str">
        <f>T("   Machines et appareils de bureau, n.d.a.")</f>
        <v xml:space="preserve">   Machines et appareils de bureau, n.d.a.</v>
      </c>
      <c r="C7378">
        <v>100971923</v>
      </c>
      <c r="D7378">
        <v>5657</v>
      </c>
    </row>
    <row r="7379" spans="1:4" x14ac:dyDescent="0.25">
      <c r="A7379" t="str">
        <f>T("   848180")</f>
        <v xml:space="preserve">   848180</v>
      </c>
      <c r="B7379"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7379">
        <v>3201085</v>
      </c>
      <c r="D7379">
        <v>3380</v>
      </c>
    </row>
    <row r="7380" spans="1:4" x14ac:dyDescent="0.25">
      <c r="A7380" t="str">
        <f>T("   850421")</f>
        <v xml:space="preserve">   850421</v>
      </c>
      <c r="B7380" t="str">
        <f>T("   Transformateurs à diélectrique liquide, puissance &lt;= 650 kVA")</f>
        <v xml:space="preserve">   Transformateurs à diélectrique liquide, puissance &lt;= 650 kVA</v>
      </c>
      <c r="C7380">
        <v>106408604</v>
      </c>
      <c r="D7380">
        <v>85170</v>
      </c>
    </row>
    <row r="7381" spans="1:4" x14ac:dyDescent="0.25">
      <c r="A7381" t="str">
        <f>T("   850433")</f>
        <v xml:space="preserve">   850433</v>
      </c>
      <c r="B7381" t="str">
        <f>T("   Transformateurs à sec, puissance &gt; 16 kVA mais &lt;= 500 kVA")</f>
        <v xml:space="preserve">   Transformateurs à sec, puissance &gt; 16 kVA mais &lt;= 500 kVA</v>
      </c>
      <c r="C7381">
        <v>29817657</v>
      </c>
      <c r="D7381">
        <v>20490</v>
      </c>
    </row>
    <row r="7382" spans="1:4" x14ac:dyDescent="0.25">
      <c r="A7382" t="str">
        <f>T("   850490")</f>
        <v xml:space="preserve">   850490</v>
      </c>
      <c r="B7382" t="str">
        <f>T("   Parties de transformateurs, de bobines de réactance et selfs n.d.a.")</f>
        <v xml:space="preserve">   Parties de transformateurs, de bobines de réactance et selfs n.d.a.</v>
      </c>
      <c r="C7382">
        <v>8514361</v>
      </c>
      <c r="D7382">
        <v>15306</v>
      </c>
    </row>
    <row r="7383" spans="1:4" x14ac:dyDescent="0.25">
      <c r="A7383" t="str">
        <f>T("   850940")</f>
        <v xml:space="preserve">   850940</v>
      </c>
      <c r="B7383"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7383">
        <v>663786</v>
      </c>
      <c r="D7383">
        <v>243</v>
      </c>
    </row>
    <row r="7384" spans="1:4" x14ac:dyDescent="0.25">
      <c r="A7384" t="str">
        <f>T("   851640")</f>
        <v xml:space="preserve">   851640</v>
      </c>
      <c r="B7384" t="str">
        <f>T("   Fers à repasser électriques")</f>
        <v xml:space="preserve">   Fers à repasser électriques</v>
      </c>
      <c r="C7384">
        <v>938266</v>
      </c>
      <c r="D7384">
        <v>321</v>
      </c>
    </row>
    <row r="7385" spans="1:4" x14ac:dyDescent="0.25">
      <c r="A7385" t="str">
        <f>T("   851780")</f>
        <v xml:space="preserve">   851780</v>
      </c>
      <c r="B7385" t="s">
        <v>453</v>
      </c>
      <c r="C7385">
        <v>458516</v>
      </c>
      <c r="D7385">
        <v>252</v>
      </c>
    </row>
    <row r="7386" spans="1:4" x14ac:dyDescent="0.25">
      <c r="A7386" t="str">
        <f>T("   852719")</f>
        <v xml:space="preserve">   852719</v>
      </c>
      <c r="B7386"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7386">
        <v>1501491</v>
      </c>
      <c r="D7386">
        <v>9000</v>
      </c>
    </row>
    <row r="7387" spans="1:4" x14ac:dyDescent="0.25">
      <c r="A7387" t="str">
        <f>T("   852812")</f>
        <v xml:space="preserve">   852812</v>
      </c>
      <c r="B7387"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387">
        <v>3460845</v>
      </c>
      <c r="D7387">
        <v>30000</v>
      </c>
    </row>
    <row r="7388" spans="1:4" x14ac:dyDescent="0.25">
      <c r="A7388" t="str">
        <f>T("   853650")</f>
        <v xml:space="preserve">   853650</v>
      </c>
      <c r="B7388" t="str">
        <f>T("   Interrupteurs, sectionneurs et commutateurs, pour une tension &lt;= 1.000 V (autres que relais et disjoncteurs)")</f>
        <v xml:space="preserve">   Interrupteurs, sectionneurs et commutateurs, pour une tension &lt;= 1.000 V (autres que relais et disjoncteurs)</v>
      </c>
      <c r="C7388">
        <v>5306061</v>
      </c>
      <c r="D7388">
        <v>1500</v>
      </c>
    </row>
    <row r="7389" spans="1:4" x14ac:dyDescent="0.25">
      <c r="A7389" t="str">
        <f>T("   853669")</f>
        <v xml:space="preserve">   853669</v>
      </c>
      <c r="B7389" t="str">
        <f>T("   Fiches et prises de courant, pour une tension &lt;= 1.000 V (sauf douilles pour lampes)")</f>
        <v xml:space="preserve">   Fiches et prises de courant, pour une tension &lt;= 1.000 V (sauf douilles pour lampes)</v>
      </c>
      <c r="C7389">
        <v>29041318</v>
      </c>
      <c r="D7389">
        <v>71532</v>
      </c>
    </row>
    <row r="7390" spans="1:4" x14ac:dyDescent="0.25">
      <c r="A7390" t="str">
        <f>T("   853690")</f>
        <v xml:space="preserve">   853690</v>
      </c>
      <c r="B7390" t="s">
        <v>467</v>
      </c>
      <c r="C7390">
        <v>11818430</v>
      </c>
      <c r="D7390">
        <v>11253</v>
      </c>
    </row>
    <row r="7391" spans="1:4" x14ac:dyDescent="0.25">
      <c r="A7391" t="str">
        <f>T("   853810")</f>
        <v xml:space="preserve">   853810</v>
      </c>
      <c r="B7391" t="str">
        <f>T("   Tableaux, panneaux, consoles, pupitres, armoires et autres supports pour articles du n° 8537, dépourvus de leurs appareils")</f>
        <v xml:space="preserve">   Tableaux, panneaux, consoles, pupitres, armoires et autres supports pour articles du n° 8537, dépourvus de leurs appareils</v>
      </c>
      <c r="C7391">
        <v>3937729</v>
      </c>
      <c r="D7391">
        <v>4113</v>
      </c>
    </row>
    <row r="7392" spans="1:4" x14ac:dyDescent="0.25">
      <c r="A7392" t="str">
        <f>T("   853890")</f>
        <v xml:space="preserve">   853890</v>
      </c>
      <c r="B7392" t="s">
        <v>468</v>
      </c>
      <c r="C7392">
        <v>634313</v>
      </c>
      <c r="D7392">
        <v>592</v>
      </c>
    </row>
    <row r="7393" spans="1:4" x14ac:dyDescent="0.25">
      <c r="A7393" t="str">
        <f>T("   853939")</f>
        <v xml:space="preserve">   853939</v>
      </c>
      <c r="B7393"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7393">
        <v>13601987</v>
      </c>
      <c r="D7393">
        <v>14778</v>
      </c>
    </row>
    <row r="7394" spans="1:4" x14ac:dyDescent="0.25">
      <c r="A7394" t="str">
        <f>T("   854451")</f>
        <v xml:space="preserve">   854451</v>
      </c>
      <c r="B7394" t="str">
        <f>T("   Conducteurs électriques, pour tension &gt; 80 V mais &lt;= 1.000 V, avec pièces de connexion, n.d.a.")</f>
        <v xml:space="preserve">   Conducteurs électriques, pour tension &gt; 80 V mais &lt;= 1.000 V, avec pièces de connexion, n.d.a.</v>
      </c>
      <c r="C7394">
        <v>31456562</v>
      </c>
      <c r="D7394">
        <v>10279</v>
      </c>
    </row>
    <row r="7395" spans="1:4" x14ac:dyDescent="0.25">
      <c r="A7395" t="str">
        <f>T("   854459")</f>
        <v xml:space="preserve">   854459</v>
      </c>
      <c r="B7395" t="str">
        <f>T("   Conducteurs électriques, pour tension &gt; 80 V mais &lt;= 1.000 V, sans pièces de connexion, n.d.a.")</f>
        <v xml:space="preserve">   Conducteurs électriques, pour tension &gt; 80 V mais &lt;= 1.000 V, sans pièces de connexion, n.d.a.</v>
      </c>
      <c r="C7395">
        <v>103065747</v>
      </c>
      <c r="D7395">
        <v>44954</v>
      </c>
    </row>
    <row r="7396" spans="1:4" x14ac:dyDescent="0.25">
      <c r="A7396" t="str">
        <f>T("   870322")</f>
        <v xml:space="preserve">   870322</v>
      </c>
      <c r="B7396" t="s">
        <v>472</v>
      </c>
      <c r="C7396">
        <v>2995996</v>
      </c>
      <c r="D7396">
        <v>1000</v>
      </c>
    </row>
    <row r="7397" spans="1:4" x14ac:dyDescent="0.25">
      <c r="A7397" t="str">
        <f>T("   870899")</f>
        <v xml:space="preserve">   870899</v>
      </c>
      <c r="B7397"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397">
        <v>2206808</v>
      </c>
      <c r="D7397">
        <v>8500</v>
      </c>
    </row>
    <row r="7398" spans="1:4" x14ac:dyDescent="0.25">
      <c r="A7398" t="str">
        <f>T("   900490")</f>
        <v xml:space="preserve">   900490</v>
      </c>
      <c r="B7398"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7398">
        <v>872427</v>
      </c>
      <c r="D7398">
        <v>90</v>
      </c>
    </row>
    <row r="7399" spans="1:4" x14ac:dyDescent="0.25">
      <c r="A7399" t="str">
        <f>T("   940540")</f>
        <v xml:space="preserve">   940540</v>
      </c>
      <c r="B7399" t="str">
        <f>T("   Appareils d'éclairage électrique, n.d.a.")</f>
        <v xml:space="preserve">   Appareils d'éclairage électrique, n.d.a.</v>
      </c>
      <c r="C7399">
        <v>4901334</v>
      </c>
      <c r="D7399">
        <v>4679</v>
      </c>
    </row>
    <row r="7400" spans="1:4" x14ac:dyDescent="0.25">
      <c r="A7400" t="str">
        <f>T("   940592")</f>
        <v xml:space="preserve">   940592</v>
      </c>
      <c r="B7400" t="str">
        <f>T("   Parties en matières plastiques d'appareils d'éclairage, de lampes-réclames, d'enseignes lumineuses, de plaques indicatrices lumineuses, et simil., n.d.a.")</f>
        <v xml:space="preserve">   Parties en matières plastiques d'appareils d'éclairage, de lampes-réclames, d'enseignes lumineuses, de plaques indicatrices lumineuses, et simil., n.d.a.</v>
      </c>
      <c r="C7400">
        <v>640873</v>
      </c>
      <c r="D7400">
        <v>668</v>
      </c>
    </row>
    <row r="7401" spans="1:4" x14ac:dyDescent="0.25">
      <c r="A7401" t="str">
        <f>T("   960329")</f>
        <v xml:space="preserve">   960329</v>
      </c>
      <c r="B7401"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7401">
        <v>325724</v>
      </c>
      <c r="D7401">
        <v>540</v>
      </c>
    </row>
    <row r="7402" spans="1:4" x14ac:dyDescent="0.25">
      <c r="A7402" t="str">
        <f>T("   960340")</f>
        <v xml:space="preserve">   960340</v>
      </c>
      <c r="B7402"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7402">
        <v>252172</v>
      </c>
      <c r="D7402">
        <v>1480</v>
      </c>
    </row>
    <row r="7403" spans="1:4" x14ac:dyDescent="0.25">
      <c r="A7403" t="str">
        <f>T("   960400")</f>
        <v xml:space="preserve">   960400</v>
      </c>
      <c r="B7403" t="str">
        <f>T("   Tamis et cribles, à main (sauf simples égouttoirs et passoires)")</f>
        <v xml:space="preserve">   Tamis et cribles, à main (sauf simples égouttoirs et passoires)</v>
      </c>
      <c r="C7403">
        <v>407869</v>
      </c>
      <c r="D7403">
        <v>93</v>
      </c>
    </row>
    <row r="7404" spans="1:4" x14ac:dyDescent="0.25">
      <c r="A7404" t="str">
        <f>T("   960839")</f>
        <v xml:space="preserve">   960839</v>
      </c>
      <c r="B7404" t="str">
        <f>T("   Stylos à plume et autres stylos (autres qu'à dessiner à l'encre de Chine)")</f>
        <v xml:space="preserve">   Stylos à plume et autres stylos (autres qu'à dessiner à l'encre de Chine)</v>
      </c>
      <c r="C7404">
        <v>131192</v>
      </c>
      <c r="D7404">
        <v>385</v>
      </c>
    </row>
    <row r="7405" spans="1:4" x14ac:dyDescent="0.25">
      <c r="A7405" t="str">
        <f>T("MC")</f>
        <v>MC</v>
      </c>
      <c r="B7405" t="str">
        <f>T("Monaco")</f>
        <v>Monaco</v>
      </c>
    </row>
    <row r="7406" spans="1:4" x14ac:dyDescent="0.25">
      <c r="A7406" t="str">
        <f>T("   ZZ_Total_Produit_SH6")</f>
        <v xml:space="preserve">   ZZ_Total_Produit_SH6</v>
      </c>
      <c r="B7406" t="str">
        <f>T("   ZZ_Total_Produit_SH6")</f>
        <v xml:space="preserve">   ZZ_Total_Produit_SH6</v>
      </c>
      <c r="C7406">
        <v>24310072</v>
      </c>
      <c r="D7406">
        <v>19278</v>
      </c>
    </row>
    <row r="7407" spans="1:4" x14ac:dyDescent="0.25">
      <c r="A7407" t="str">
        <f>T("   732111")</f>
        <v xml:space="preserve">   732111</v>
      </c>
      <c r="B7407" t="s">
        <v>356</v>
      </c>
      <c r="C7407">
        <v>5001039</v>
      </c>
      <c r="D7407">
        <v>2446</v>
      </c>
    </row>
    <row r="7408" spans="1:4" x14ac:dyDescent="0.25">
      <c r="A7408" t="str">
        <f>T("   841829")</f>
        <v xml:space="preserve">   841829</v>
      </c>
      <c r="B7408" t="str">
        <f>T("   Réfrigérateurs ménagers à absorption, non-électriques")</f>
        <v xml:space="preserve">   Réfrigérateurs ménagers à absorption, non-électriques</v>
      </c>
      <c r="C7408">
        <v>6764587</v>
      </c>
      <c r="D7408">
        <v>7280</v>
      </c>
    </row>
    <row r="7409" spans="1:4" x14ac:dyDescent="0.25">
      <c r="A7409" t="str">
        <f>T("   841830")</f>
        <v xml:space="preserve">   841830</v>
      </c>
      <c r="B7409" t="str">
        <f>T("   Meubles congélateurs-conservateurs du type coffre, capacité &lt;= 800 l")</f>
        <v xml:space="preserve">   Meubles congélateurs-conservateurs du type coffre, capacité &lt;= 800 l</v>
      </c>
      <c r="C7409">
        <v>7437931</v>
      </c>
      <c r="D7409">
        <v>3870</v>
      </c>
    </row>
    <row r="7410" spans="1:4" x14ac:dyDescent="0.25">
      <c r="A7410" t="str">
        <f>T("   841850")</f>
        <v xml:space="preserve">   841850</v>
      </c>
      <c r="B7410" t="s">
        <v>404</v>
      </c>
      <c r="C7410">
        <v>5038927</v>
      </c>
      <c r="D7410">
        <v>5620</v>
      </c>
    </row>
    <row r="7411" spans="1:4" x14ac:dyDescent="0.25">
      <c r="A7411" t="str">
        <f>T("   841899")</f>
        <v xml:space="preserve">   841899</v>
      </c>
      <c r="B7411"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7411">
        <v>67588</v>
      </c>
      <c r="D7411">
        <v>62</v>
      </c>
    </row>
    <row r="7412" spans="1:4" x14ac:dyDescent="0.25">
      <c r="A7412" t="str">
        <f>T("MG")</f>
        <v>MG</v>
      </c>
      <c r="B7412" t="str">
        <f>T("Madagascar")</f>
        <v>Madagascar</v>
      </c>
    </row>
    <row r="7413" spans="1:4" x14ac:dyDescent="0.25">
      <c r="A7413" t="str">
        <f>T("   ZZ_Total_Produit_SH6")</f>
        <v xml:space="preserve">   ZZ_Total_Produit_SH6</v>
      </c>
      <c r="B7413" t="str">
        <f>T("   ZZ_Total_Produit_SH6")</f>
        <v xml:space="preserve">   ZZ_Total_Produit_SH6</v>
      </c>
      <c r="C7413">
        <v>81217010</v>
      </c>
      <c r="D7413">
        <v>257340</v>
      </c>
    </row>
    <row r="7414" spans="1:4" x14ac:dyDescent="0.25">
      <c r="A7414" t="str">
        <f>T("   220710")</f>
        <v xml:space="preserve">   220710</v>
      </c>
      <c r="B7414" t="str">
        <f>T("   Alcool éthylique non dénaturé d'un titre alcoométrique volumique &gt;= 80% vol")</f>
        <v xml:space="preserve">   Alcool éthylique non dénaturé d'un titre alcoométrique volumique &gt;= 80% vol</v>
      </c>
      <c r="C7414">
        <v>78715200</v>
      </c>
      <c r="D7414">
        <v>253440</v>
      </c>
    </row>
    <row r="7415" spans="1:4" x14ac:dyDescent="0.25">
      <c r="A7415" t="str">
        <f>T("   620590")</f>
        <v xml:space="preserve">   620590</v>
      </c>
      <c r="B741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415">
        <v>500000</v>
      </c>
      <c r="D7415">
        <v>680</v>
      </c>
    </row>
    <row r="7416" spans="1:4" x14ac:dyDescent="0.25">
      <c r="A7416" t="str">
        <f>T("   621040")</f>
        <v xml:space="preserve">   621040</v>
      </c>
      <c r="B7416" t="s">
        <v>265</v>
      </c>
      <c r="C7416">
        <v>501810</v>
      </c>
      <c r="D7416">
        <v>900</v>
      </c>
    </row>
    <row r="7417" spans="1:4" x14ac:dyDescent="0.25">
      <c r="A7417" t="str">
        <f>T("   732394")</f>
        <v xml:space="preserve">   732394</v>
      </c>
      <c r="B7417" t="s">
        <v>362</v>
      </c>
      <c r="C7417">
        <v>560000</v>
      </c>
      <c r="D7417">
        <v>690</v>
      </c>
    </row>
    <row r="7418" spans="1:4" x14ac:dyDescent="0.25">
      <c r="A7418" t="str">
        <f>T("   940350")</f>
        <v xml:space="preserve">   940350</v>
      </c>
      <c r="B7418" t="str">
        <f>T("   Meubles pour chambres à coucher, en bois (sauf sièges)")</f>
        <v xml:space="preserve">   Meubles pour chambres à coucher, en bois (sauf sièges)</v>
      </c>
      <c r="C7418">
        <v>750000</v>
      </c>
      <c r="D7418">
        <v>1380</v>
      </c>
    </row>
    <row r="7419" spans="1:4" x14ac:dyDescent="0.25">
      <c r="A7419" t="str">
        <f>T("   950299")</f>
        <v xml:space="preserve">   950299</v>
      </c>
      <c r="B7419" t="str">
        <f>T("   Parties et accessoires pour poupées représentant uniquement l'être humain, n.d.a.")</f>
        <v xml:space="preserve">   Parties et accessoires pour poupées représentant uniquement l'être humain, n.d.a.</v>
      </c>
      <c r="C7419">
        <v>190000</v>
      </c>
      <c r="D7419">
        <v>250</v>
      </c>
    </row>
    <row r="7420" spans="1:4" x14ac:dyDescent="0.25">
      <c r="A7420" t="str">
        <f>T("ML")</f>
        <v>ML</v>
      </c>
      <c r="B7420" t="str">
        <f>T("Mali")</f>
        <v>Mali</v>
      </c>
    </row>
    <row r="7421" spans="1:4" x14ac:dyDescent="0.25">
      <c r="A7421" t="str">
        <f>T("   ZZ_Total_Produit_SH6")</f>
        <v xml:space="preserve">   ZZ_Total_Produit_SH6</v>
      </c>
      <c r="B7421" t="str">
        <f>T("   ZZ_Total_Produit_SH6")</f>
        <v xml:space="preserve">   ZZ_Total_Produit_SH6</v>
      </c>
      <c r="C7421">
        <v>83364913</v>
      </c>
      <c r="D7421">
        <v>82404</v>
      </c>
    </row>
    <row r="7422" spans="1:4" x14ac:dyDescent="0.25">
      <c r="A7422" t="str">
        <f>T("   040299")</f>
        <v xml:space="preserve">   040299</v>
      </c>
      <c r="B7422"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7422">
        <v>13600000</v>
      </c>
      <c r="D7422">
        <v>53400</v>
      </c>
    </row>
    <row r="7423" spans="1:4" x14ac:dyDescent="0.25">
      <c r="A7423" t="str">
        <f>T("   293610")</f>
        <v xml:space="preserve">   293610</v>
      </c>
      <c r="B7423" t="str">
        <f>T("   Provitamines, non mélangées")</f>
        <v xml:space="preserve">   Provitamines, non mélangées</v>
      </c>
      <c r="C7423">
        <v>2209333</v>
      </c>
      <c r="D7423">
        <v>34</v>
      </c>
    </row>
    <row r="7424" spans="1:4" x14ac:dyDescent="0.25">
      <c r="A7424" t="str">
        <f>T("   300339")</f>
        <v xml:space="preserve">   300339</v>
      </c>
      <c r="B7424"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7424">
        <v>4916048</v>
      </c>
      <c r="D7424">
        <v>225</v>
      </c>
    </row>
    <row r="7425" spans="1:4" x14ac:dyDescent="0.25">
      <c r="A7425" t="str">
        <f>T("   300490")</f>
        <v xml:space="preserve">   300490</v>
      </c>
      <c r="B7425" t="s">
        <v>79</v>
      </c>
      <c r="C7425">
        <v>52752547</v>
      </c>
      <c r="D7425">
        <v>1664</v>
      </c>
    </row>
    <row r="7426" spans="1:4" x14ac:dyDescent="0.25">
      <c r="A7426" t="str">
        <f>T("   340119")</f>
        <v xml:space="preserve">   340119</v>
      </c>
      <c r="B7426" t="s">
        <v>99</v>
      </c>
      <c r="C7426">
        <v>6606985</v>
      </c>
      <c r="D7426">
        <v>24560</v>
      </c>
    </row>
    <row r="7427" spans="1:4" x14ac:dyDescent="0.25">
      <c r="A7427" t="str">
        <f>T("   520829")</f>
        <v xml:space="preserve">   520829</v>
      </c>
      <c r="B7427"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7427">
        <v>65000</v>
      </c>
      <c r="D7427">
        <v>21</v>
      </c>
    </row>
    <row r="7428" spans="1:4" x14ac:dyDescent="0.25">
      <c r="A7428" t="str">
        <f>T("   870322")</f>
        <v xml:space="preserve">   870322</v>
      </c>
      <c r="B7428" t="s">
        <v>472</v>
      </c>
      <c r="C7428">
        <v>1200000</v>
      </c>
      <c r="D7428">
        <v>1125</v>
      </c>
    </row>
    <row r="7429" spans="1:4" x14ac:dyDescent="0.25">
      <c r="A7429" t="str">
        <f>T("   940380")</f>
        <v xml:space="preserve">   940380</v>
      </c>
      <c r="B7429" t="str">
        <f>T("   Meubles en rotin, osier, bambou ou autres matières (sauf métal, bois et matières plastiques)")</f>
        <v xml:space="preserve">   Meubles en rotin, osier, bambou ou autres matières (sauf métal, bois et matières plastiques)</v>
      </c>
      <c r="C7429">
        <v>2015000</v>
      </c>
      <c r="D7429">
        <v>1375</v>
      </c>
    </row>
    <row r="7430" spans="1:4" x14ac:dyDescent="0.25">
      <c r="A7430" t="str">
        <f>T("MN")</f>
        <v>MN</v>
      </c>
      <c r="B7430" t="str">
        <f>T("Mongolie")</f>
        <v>Mongolie</v>
      </c>
    </row>
    <row r="7431" spans="1:4" x14ac:dyDescent="0.25">
      <c r="A7431" t="str">
        <f>T("   ZZ_Total_Produit_SH6")</f>
        <v xml:space="preserve">   ZZ_Total_Produit_SH6</v>
      </c>
      <c r="B7431" t="str">
        <f>T("   ZZ_Total_Produit_SH6")</f>
        <v xml:space="preserve">   ZZ_Total_Produit_SH6</v>
      </c>
      <c r="C7431">
        <v>27970134</v>
      </c>
      <c r="D7431">
        <v>280</v>
      </c>
    </row>
    <row r="7432" spans="1:4" x14ac:dyDescent="0.25">
      <c r="A7432" t="str">
        <f>T("   300490")</f>
        <v xml:space="preserve">   300490</v>
      </c>
      <c r="B7432" t="s">
        <v>79</v>
      </c>
      <c r="C7432">
        <v>27970134</v>
      </c>
      <c r="D7432">
        <v>280</v>
      </c>
    </row>
    <row r="7433" spans="1:4" x14ac:dyDescent="0.25">
      <c r="A7433" t="str">
        <f>T("MO")</f>
        <v>MO</v>
      </c>
      <c r="B7433" t="str">
        <f>T("Macao")</f>
        <v>Macao</v>
      </c>
    </row>
    <row r="7434" spans="1:4" x14ac:dyDescent="0.25">
      <c r="A7434" t="str">
        <f>T("   ZZ_Total_Produit_SH6")</f>
        <v xml:space="preserve">   ZZ_Total_Produit_SH6</v>
      </c>
      <c r="B7434" t="str">
        <f>T("   ZZ_Total_Produit_SH6")</f>
        <v xml:space="preserve">   ZZ_Total_Produit_SH6</v>
      </c>
      <c r="C7434">
        <v>17977045</v>
      </c>
      <c r="D7434">
        <v>20</v>
      </c>
    </row>
    <row r="7435" spans="1:4" x14ac:dyDescent="0.25">
      <c r="A7435" t="str">
        <f>T("   847180")</f>
        <v xml:space="preserve">   847180</v>
      </c>
      <c r="B743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435">
        <v>17977045</v>
      </c>
      <c r="D7435">
        <v>20</v>
      </c>
    </row>
    <row r="7436" spans="1:4" x14ac:dyDescent="0.25">
      <c r="A7436" t="str">
        <f>T("MR")</f>
        <v>MR</v>
      </c>
      <c r="B7436" t="str">
        <f>T("Mauritanie")</f>
        <v>Mauritanie</v>
      </c>
    </row>
    <row r="7437" spans="1:4" x14ac:dyDescent="0.25">
      <c r="A7437" t="str">
        <f>T("   ZZ_Total_Produit_SH6")</f>
        <v xml:space="preserve">   ZZ_Total_Produit_SH6</v>
      </c>
      <c r="B7437" t="str">
        <f>T("   ZZ_Total_Produit_SH6")</f>
        <v xml:space="preserve">   ZZ_Total_Produit_SH6</v>
      </c>
      <c r="C7437">
        <v>5812974862</v>
      </c>
      <c r="D7437">
        <v>32071227</v>
      </c>
    </row>
    <row r="7438" spans="1:4" x14ac:dyDescent="0.25">
      <c r="A7438" t="str">
        <f>T("   020727")</f>
        <v xml:space="preserve">   020727</v>
      </c>
      <c r="B7438" t="str">
        <f>T("   Morceaux et abats comestibles de dindes et dindons [des espèces domestiques], congelés")</f>
        <v xml:space="preserve">   Morceaux et abats comestibles de dindes et dindons [des espèces domestiques], congelés</v>
      </c>
      <c r="C7438">
        <v>30000331</v>
      </c>
      <c r="D7438">
        <v>52000</v>
      </c>
    </row>
    <row r="7439" spans="1:4" x14ac:dyDescent="0.25">
      <c r="A7439" t="str">
        <f>T("   030329")</f>
        <v xml:space="preserve">   030329</v>
      </c>
      <c r="B7439" t="str">
        <f>T("   Salmonidés, congelés (à l'excl. des saumons du Pacifique, de l'Atlantique et du Danube ainsi que des truites)")</f>
        <v xml:space="preserve">   Salmonidés, congelés (à l'excl. des saumons du Pacifique, de l'Atlantique et du Danube ainsi que des truites)</v>
      </c>
      <c r="C7439">
        <v>3359425999</v>
      </c>
      <c r="D7439">
        <v>19196693</v>
      </c>
    </row>
    <row r="7440" spans="1:4" x14ac:dyDescent="0.25">
      <c r="A7440" t="str">
        <f>T("   030379")</f>
        <v xml:space="preserve">   030379</v>
      </c>
      <c r="B7440" t="s">
        <v>17</v>
      </c>
      <c r="C7440">
        <v>2402683742</v>
      </c>
      <c r="D7440">
        <v>12801747</v>
      </c>
    </row>
    <row r="7441" spans="1:4" x14ac:dyDescent="0.25">
      <c r="A7441" t="str">
        <f>T("   220300")</f>
        <v xml:space="preserve">   220300</v>
      </c>
      <c r="B7441" t="str">
        <f>T("   Bières de malt")</f>
        <v xml:space="preserve">   Bières de malt</v>
      </c>
      <c r="C7441">
        <v>5896163</v>
      </c>
      <c r="D7441">
        <v>19529</v>
      </c>
    </row>
    <row r="7442" spans="1:4" x14ac:dyDescent="0.25">
      <c r="A7442" t="str">
        <f>T("   300490")</f>
        <v xml:space="preserve">   300490</v>
      </c>
      <c r="B7442" t="s">
        <v>79</v>
      </c>
      <c r="C7442">
        <v>12353721</v>
      </c>
      <c r="D7442">
        <v>299</v>
      </c>
    </row>
    <row r="7443" spans="1:4" x14ac:dyDescent="0.25">
      <c r="A7443" t="str">
        <f>T("   851780")</f>
        <v xml:space="preserve">   851780</v>
      </c>
      <c r="B7443" t="s">
        <v>453</v>
      </c>
      <c r="C7443">
        <v>1414906</v>
      </c>
      <c r="D7443">
        <v>9</v>
      </c>
    </row>
    <row r="7444" spans="1:4" x14ac:dyDescent="0.25">
      <c r="A7444" t="str">
        <f>T("   870322")</f>
        <v xml:space="preserve">   870322</v>
      </c>
      <c r="B7444" t="s">
        <v>472</v>
      </c>
      <c r="C7444">
        <v>1200000</v>
      </c>
      <c r="D7444">
        <v>950</v>
      </c>
    </row>
    <row r="7445" spans="1:4" x14ac:dyDescent="0.25">
      <c r="A7445" t="str">
        <f>T("MS")</f>
        <v>MS</v>
      </c>
      <c r="B7445" t="str">
        <f>T("Montserrat")</f>
        <v>Montserrat</v>
      </c>
    </row>
    <row r="7446" spans="1:4" x14ac:dyDescent="0.25">
      <c r="A7446" t="str">
        <f>T("   ZZ_Total_Produit_SH6")</f>
        <v xml:space="preserve">   ZZ_Total_Produit_SH6</v>
      </c>
      <c r="B7446" t="str">
        <f>T("   ZZ_Total_Produit_SH6")</f>
        <v xml:space="preserve">   ZZ_Total_Produit_SH6</v>
      </c>
      <c r="C7446">
        <v>320698</v>
      </c>
      <c r="D7446">
        <v>20.2</v>
      </c>
    </row>
    <row r="7447" spans="1:4" x14ac:dyDescent="0.25">
      <c r="A7447" t="str">
        <f>T("   482090")</f>
        <v xml:space="preserve">   482090</v>
      </c>
      <c r="B7447" t="s">
        <v>215</v>
      </c>
      <c r="C7447">
        <v>320698</v>
      </c>
      <c r="D7447">
        <v>20.2</v>
      </c>
    </row>
    <row r="7448" spans="1:4" x14ac:dyDescent="0.25">
      <c r="A7448" t="str">
        <f>T("MU")</f>
        <v>MU</v>
      </c>
      <c r="B7448" t="str">
        <f>T("Maurice, île")</f>
        <v>Maurice, île</v>
      </c>
    </row>
    <row r="7449" spans="1:4" x14ac:dyDescent="0.25">
      <c r="A7449" t="str">
        <f>T("   ZZ_Total_Produit_SH6")</f>
        <v xml:space="preserve">   ZZ_Total_Produit_SH6</v>
      </c>
      <c r="B7449" t="str">
        <f>T("   ZZ_Total_Produit_SH6")</f>
        <v xml:space="preserve">   ZZ_Total_Produit_SH6</v>
      </c>
      <c r="C7449">
        <v>19686751</v>
      </c>
      <c r="D7449">
        <v>41253</v>
      </c>
    </row>
    <row r="7450" spans="1:4" x14ac:dyDescent="0.25">
      <c r="A7450" t="str">
        <f>T("   220300")</f>
        <v xml:space="preserve">   220300</v>
      </c>
      <c r="B7450" t="str">
        <f>T("   Bières de malt")</f>
        <v xml:space="preserve">   Bières de malt</v>
      </c>
      <c r="C7450">
        <v>12459383</v>
      </c>
      <c r="D7450">
        <v>39797</v>
      </c>
    </row>
    <row r="7451" spans="1:4" x14ac:dyDescent="0.25">
      <c r="A7451" t="str">
        <f>T("   870323")</f>
        <v xml:space="preserve">   870323</v>
      </c>
      <c r="B7451" t="s">
        <v>473</v>
      </c>
      <c r="C7451">
        <v>7227368</v>
      </c>
      <c r="D7451">
        <v>1456</v>
      </c>
    </row>
    <row r="7452" spans="1:4" x14ac:dyDescent="0.25">
      <c r="A7452" t="str">
        <f>T("MX")</f>
        <v>MX</v>
      </c>
      <c r="B7452" t="str">
        <f>T("Mexique")</f>
        <v>Mexique</v>
      </c>
    </row>
    <row r="7453" spans="1:4" x14ac:dyDescent="0.25">
      <c r="A7453" t="str">
        <f>T("   ZZ_Total_Produit_SH6")</f>
        <v xml:space="preserve">   ZZ_Total_Produit_SH6</v>
      </c>
      <c r="B7453" t="str">
        <f>T("   ZZ_Total_Produit_SH6")</f>
        <v xml:space="preserve">   ZZ_Total_Produit_SH6</v>
      </c>
      <c r="C7453">
        <v>262939588</v>
      </c>
      <c r="D7453">
        <v>444200</v>
      </c>
    </row>
    <row r="7454" spans="1:4" x14ac:dyDescent="0.25">
      <c r="A7454" t="str">
        <f>T("   020714")</f>
        <v xml:space="preserve">   020714</v>
      </c>
      <c r="B7454" t="str">
        <f>T("   Morceaux et abats comestibles de coqs et de poules [des espèces domestiques], congelés")</f>
        <v xml:space="preserve">   Morceaux et abats comestibles de coqs et de poules [des espèces domestiques], congelés</v>
      </c>
      <c r="C7454">
        <v>222476591</v>
      </c>
      <c r="D7454">
        <v>350900</v>
      </c>
    </row>
    <row r="7455" spans="1:4" x14ac:dyDescent="0.25">
      <c r="A7455" t="str">
        <f>T("   020727")</f>
        <v xml:space="preserve">   020727</v>
      </c>
      <c r="B7455" t="str">
        <f>T("   Morceaux et abats comestibles de dindes et dindons [des espèces domestiques], congelés")</f>
        <v xml:space="preserve">   Morceaux et abats comestibles de dindes et dindons [des espèces domestiques], congelés</v>
      </c>
      <c r="C7455">
        <v>30000494</v>
      </c>
      <c r="D7455">
        <v>46800</v>
      </c>
    </row>
    <row r="7456" spans="1:4" x14ac:dyDescent="0.25">
      <c r="A7456" t="str">
        <f>T("   030371")</f>
        <v xml:space="preserve">   030371</v>
      </c>
      <c r="B7456" t="str">
        <f>T("   Sardines [Sardina pilchardus, Sardinops spp.], sardinelles [Sardinella spp.], sprats ou esprots [Sprattus sprattus], congelés")</f>
        <v xml:space="preserve">   Sardines [Sardina pilchardus, Sardinops spp.], sardinelles [Sardinella spp.], sprats ou esprots [Sprattus sprattus], congelés</v>
      </c>
      <c r="C7456">
        <v>10462503</v>
      </c>
      <c r="D7456">
        <v>46500</v>
      </c>
    </row>
    <row r="7457" spans="1:4" x14ac:dyDescent="0.25">
      <c r="A7457" t="str">
        <f>T("MY")</f>
        <v>MY</v>
      </c>
      <c r="B7457" t="str">
        <f>T("Malaisie")</f>
        <v>Malaisie</v>
      </c>
    </row>
    <row r="7458" spans="1:4" x14ac:dyDescent="0.25">
      <c r="A7458" t="str">
        <f>T("   ZZ_Total_Produit_SH6")</f>
        <v xml:space="preserve">   ZZ_Total_Produit_SH6</v>
      </c>
      <c r="B7458" t="str">
        <f>T("   ZZ_Total_Produit_SH6")</f>
        <v xml:space="preserve">   ZZ_Total_Produit_SH6</v>
      </c>
      <c r="C7458">
        <v>39940488779.080002</v>
      </c>
      <c r="D7458">
        <v>109103465.8</v>
      </c>
    </row>
    <row r="7459" spans="1:4" x14ac:dyDescent="0.25">
      <c r="A7459" t="str">
        <f>T("   020712")</f>
        <v xml:space="preserve">   020712</v>
      </c>
      <c r="B7459" t="str">
        <f>T("   COQS ET POULES [DES ESPÈCES DOMESTIQUES], NON-DÉCOUPÉS EN MORCEAUX, CONGELÉS")</f>
        <v xml:space="preserve">   COQS ET POULES [DES ESPÈCES DOMESTIQUES], NON-DÉCOUPÉS EN MORCEAUX, CONGELÉS</v>
      </c>
      <c r="C7459">
        <v>15000014</v>
      </c>
      <c r="D7459">
        <v>25200</v>
      </c>
    </row>
    <row r="7460" spans="1:4" x14ac:dyDescent="0.25">
      <c r="A7460" t="str">
        <f>T("   020714")</f>
        <v xml:space="preserve">   020714</v>
      </c>
      <c r="B7460" t="str">
        <f>T("   Morceaux et abats comestibles de coqs et de poules [des espèces domestiques], congelés")</f>
        <v xml:space="preserve">   Morceaux et abats comestibles de coqs et de poules [des espèces domestiques], congelés</v>
      </c>
      <c r="C7460">
        <v>15000060</v>
      </c>
      <c r="D7460">
        <v>24130</v>
      </c>
    </row>
    <row r="7461" spans="1:4" x14ac:dyDescent="0.25">
      <c r="A7461" t="str">
        <f>T("   040210")</f>
        <v xml:space="preserve">   040210</v>
      </c>
      <c r="B7461"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7461">
        <v>15162515</v>
      </c>
      <c r="D7461">
        <v>26700</v>
      </c>
    </row>
    <row r="7462" spans="1:4" x14ac:dyDescent="0.25">
      <c r="A7462" t="str">
        <f>T("   040299")</f>
        <v xml:space="preserve">   040299</v>
      </c>
      <c r="B7462"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7462">
        <v>18000000</v>
      </c>
      <c r="D7462">
        <v>48220</v>
      </c>
    </row>
    <row r="7463" spans="1:4" x14ac:dyDescent="0.25">
      <c r="A7463" t="str">
        <f>T("   100630")</f>
        <v xml:space="preserve">   100630</v>
      </c>
      <c r="B7463" t="str">
        <f>T("   Riz semi-blanchi ou blanchi, même poli ou glacé")</f>
        <v xml:space="preserve">   Riz semi-blanchi ou blanchi, même poli ou glacé</v>
      </c>
      <c r="C7463">
        <v>71676492.383000001</v>
      </c>
      <c r="D7463">
        <v>250000</v>
      </c>
    </row>
    <row r="7464" spans="1:4" x14ac:dyDescent="0.25">
      <c r="A7464" t="str">
        <f>T("   150890")</f>
        <v xml:space="preserve">   150890</v>
      </c>
      <c r="B7464" t="str">
        <f>T("   Huile d'arachide et ses fractions, même raffinées, mais non chimiquement modifiées (à l'excl. de l'huile d'arachide brute)")</f>
        <v xml:space="preserve">   Huile d'arachide et ses fractions, même raffinées, mais non chimiquement modifiées (à l'excl. de l'huile d'arachide brute)</v>
      </c>
      <c r="C7464">
        <v>2015030684.5780001</v>
      </c>
      <c r="D7464">
        <v>5155869</v>
      </c>
    </row>
    <row r="7465" spans="1:4" x14ac:dyDescent="0.25">
      <c r="A7465" t="str">
        <f>T("   151190")</f>
        <v xml:space="preserve">   151190</v>
      </c>
      <c r="B7465" t="str">
        <f>T("   Huile de palme et ses fractions, même raffinées, mais non chimiquement modifiées (à l'excl. de l'huile de palme brute)")</f>
        <v xml:space="preserve">   Huile de palme et ses fractions, même raffinées, mais non chimiquement modifiées (à l'excl. de l'huile de palme brute)</v>
      </c>
      <c r="C7465">
        <v>34522410352.119003</v>
      </c>
      <c r="D7465">
        <v>93101828.099999994</v>
      </c>
    </row>
    <row r="7466" spans="1:4" x14ac:dyDescent="0.25">
      <c r="A7466" t="str">
        <f>T("   151590")</f>
        <v xml:space="preserve">   151590</v>
      </c>
      <c r="B7466" t="s">
        <v>36</v>
      </c>
      <c r="C7466">
        <v>35200242</v>
      </c>
      <c r="D7466">
        <v>154000</v>
      </c>
    </row>
    <row r="7467" spans="1:4" x14ac:dyDescent="0.25">
      <c r="A7467" t="str">
        <f>T("   151620")</f>
        <v xml:space="preserve">   151620</v>
      </c>
      <c r="B7467"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7467">
        <v>2001130379</v>
      </c>
      <c r="D7467">
        <v>8311844.9800000004</v>
      </c>
    </row>
    <row r="7468" spans="1:4" x14ac:dyDescent="0.25">
      <c r="A7468" t="str">
        <f>T("   151710")</f>
        <v xml:space="preserve">   151710</v>
      </c>
      <c r="B7468" t="str">
        <f>T("   Margarine (à l'excl. de la margarine liquide)")</f>
        <v xml:space="preserve">   Margarine (à l'excl. de la margarine liquide)</v>
      </c>
      <c r="C7468">
        <v>5377348</v>
      </c>
      <c r="D7468">
        <v>19343</v>
      </c>
    </row>
    <row r="7469" spans="1:4" x14ac:dyDescent="0.25">
      <c r="A7469" t="str">
        <f>T("   151790")</f>
        <v xml:space="preserve">   151790</v>
      </c>
      <c r="B7469" t="s">
        <v>37</v>
      </c>
      <c r="C7469">
        <v>12883711</v>
      </c>
      <c r="D7469">
        <v>51533</v>
      </c>
    </row>
    <row r="7470" spans="1:4" x14ac:dyDescent="0.25">
      <c r="A7470" t="str">
        <f>T("   190190")</f>
        <v xml:space="preserve">   190190</v>
      </c>
      <c r="B7470" t="s">
        <v>50</v>
      </c>
      <c r="C7470">
        <v>285642111</v>
      </c>
      <c r="D7470">
        <v>619400</v>
      </c>
    </row>
    <row r="7471" spans="1:4" x14ac:dyDescent="0.25">
      <c r="A7471" t="str">
        <f>T("   190230")</f>
        <v xml:space="preserve">   190230</v>
      </c>
      <c r="B7471" t="str">
        <f>T("   Pâtes alimentaires, cuites ou autrement préparées (à l'excl. des pâtes alimentaires farcies)")</f>
        <v xml:space="preserve">   Pâtes alimentaires, cuites ou autrement préparées (à l'excl. des pâtes alimentaires farcies)</v>
      </c>
      <c r="C7471">
        <v>8190000</v>
      </c>
      <c r="D7471">
        <v>103200</v>
      </c>
    </row>
    <row r="7472" spans="1:4" x14ac:dyDescent="0.25">
      <c r="A7472" t="str">
        <f>T("   190410")</f>
        <v xml:space="preserve">   190410</v>
      </c>
      <c r="B7472" t="str">
        <f>T("   PRODUITS À BASE DE CÉRÉALES OBTENUS PAR SOUFFLAGE OU GRILLAGE [CORN FLAKES, P.EX.]")</f>
        <v xml:space="preserve">   PRODUITS À BASE DE CÉRÉALES OBTENUS PAR SOUFFLAGE OU GRILLAGE [CORN FLAKES, P.EX.]</v>
      </c>
      <c r="C7472">
        <v>1549259</v>
      </c>
      <c r="D7472">
        <v>776</v>
      </c>
    </row>
    <row r="7473" spans="1:4" x14ac:dyDescent="0.25">
      <c r="A7473" t="str">
        <f>T("   190531")</f>
        <v xml:space="preserve">   190531</v>
      </c>
      <c r="B7473" t="str">
        <f>T("   Biscuits additionnés d'édulcorants")</f>
        <v xml:space="preserve">   Biscuits additionnés d'édulcorants</v>
      </c>
      <c r="C7473">
        <v>21838707</v>
      </c>
      <c r="D7473">
        <v>37287</v>
      </c>
    </row>
    <row r="7474" spans="1:4" x14ac:dyDescent="0.25">
      <c r="A7474" t="str">
        <f>T("   200290")</f>
        <v xml:space="preserve">   200290</v>
      </c>
      <c r="B7474"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7474">
        <v>32454737</v>
      </c>
      <c r="D7474">
        <v>199708</v>
      </c>
    </row>
    <row r="7475" spans="1:4" x14ac:dyDescent="0.25">
      <c r="A7475" t="str">
        <f>T("   200520")</f>
        <v xml:space="preserve">   200520</v>
      </c>
      <c r="B7475" t="str">
        <f>T("   POMMES DE TERRE, PRÉPARÉES OU CONSERVÉES AUTREMENT QU'AU VINAIGRE OU À L'ACIDE ACÉTIQUE, NON-CONGELÉES")</f>
        <v xml:space="preserve">   POMMES DE TERRE, PRÉPARÉES OU CONSERVÉES AUTREMENT QU'AU VINAIGRE OU À L'ACIDE ACÉTIQUE, NON-CONGELÉES</v>
      </c>
      <c r="C7475">
        <v>1752983</v>
      </c>
      <c r="D7475">
        <v>728</v>
      </c>
    </row>
    <row r="7476" spans="1:4" x14ac:dyDescent="0.25">
      <c r="A7476" t="str">
        <f>T("   220290")</f>
        <v xml:space="preserve">   220290</v>
      </c>
      <c r="B7476" t="str">
        <f>T("   BOISSONS NON-ALCOOLIQUES (À L'EXCL. DES EAUX, DES JUS DE FRUITS OU DE LÉGUMES AINSI QUE DU LAIT)")</f>
        <v xml:space="preserve">   BOISSONS NON-ALCOOLIQUES (À L'EXCL. DES EAUX, DES JUS DE FRUITS OU DE LÉGUMES AINSI QUE DU LAIT)</v>
      </c>
      <c r="C7476">
        <v>1228622</v>
      </c>
      <c r="D7476">
        <v>556</v>
      </c>
    </row>
    <row r="7477" spans="1:4" x14ac:dyDescent="0.25">
      <c r="A7477" t="str">
        <f>T("   300490")</f>
        <v xml:space="preserve">   300490</v>
      </c>
      <c r="B7477" t="s">
        <v>79</v>
      </c>
      <c r="C7477">
        <v>2196154</v>
      </c>
      <c r="D7477">
        <v>101</v>
      </c>
    </row>
    <row r="7478" spans="1:4" x14ac:dyDescent="0.25">
      <c r="A7478" t="str">
        <f>T("   330749")</f>
        <v xml:space="preserve">   330749</v>
      </c>
      <c r="B7478"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7478">
        <v>309181</v>
      </c>
      <c r="D7478">
        <v>671</v>
      </c>
    </row>
    <row r="7479" spans="1:4" x14ac:dyDescent="0.25">
      <c r="A7479" t="str">
        <f>T("   340220")</f>
        <v xml:space="preserve">   340220</v>
      </c>
      <c r="B7479" t="s">
        <v>100</v>
      </c>
      <c r="C7479">
        <v>6948193</v>
      </c>
      <c r="D7479">
        <v>17606</v>
      </c>
    </row>
    <row r="7480" spans="1:4" x14ac:dyDescent="0.25">
      <c r="A7480" t="str">
        <f>T("   380991")</f>
        <v xml:space="preserve">   380991</v>
      </c>
      <c r="B7480" t="s">
        <v>118</v>
      </c>
      <c r="C7480">
        <v>987461</v>
      </c>
      <c r="D7480">
        <v>2999</v>
      </c>
    </row>
    <row r="7481" spans="1:4" x14ac:dyDescent="0.25">
      <c r="A7481" t="str">
        <f>T("   382490")</f>
        <v xml:space="preserve">   382490</v>
      </c>
      <c r="B7481"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7481">
        <v>863439</v>
      </c>
      <c r="D7481">
        <v>300</v>
      </c>
    </row>
    <row r="7482" spans="1:4" x14ac:dyDescent="0.25">
      <c r="A7482" t="str">
        <f>T("   392490")</f>
        <v xml:space="preserve">   392490</v>
      </c>
      <c r="B7482" t="s">
        <v>143</v>
      </c>
      <c r="C7482">
        <v>562757</v>
      </c>
      <c r="D7482">
        <v>100</v>
      </c>
    </row>
    <row r="7483" spans="1:4" x14ac:dyDescent="0.25">
      <c r="A7483" t="str">
        <f>T("   401511")</f>
        <v xml:space="preserve">   401511</v>
      </c>
      <c r="B7483" t="str">
        <f>T("   Gants en caoutchouc vulcanisé non durci, pour la chirurgie")</f>
        <v xml:space="preserve">   Gants en caoutchouc vulcanisé non durci, pour la chirurgie</v>
      </c>
      <c r="C7483">
        <v>10919110</v>
      </c>
      <c r="D7483">
        <v>9792</v>
      </c>
    </row>
    <row r="7484" spans="1:4" x14ac:dyDescent="0.25">
      <c r="A7484" t="str">
        <f>T("   401519")</f>
        <v xml:space="preserve">   401519</v>
      </c>
      <c r="B7484" t="str">
        <f>T("   GANTS, MITAINES ET MOUFLES, EN CAOUTCHOUC VULCANISÉ NON-DURCI (À L'EXCL. DES GANTS POUR LA CHIRURGIE)")</f>
        <v xml:space="preserve">   GANTS, MITAINES ET MOUFLES, EN CAOUTCHOUC VULCANISÉ NON-DURCI (À L'EXCL. DES GANTS POUR LA CHIRURGIE)</v>
      </c>
      <c r="C7484">
        <v>6950576</v>
      </c>
      <c r="D7484">
        <v>2400</v>
      </c>
    </row>
    <row r="7485" spans="1:4" x14ac:dyDescent="0.25">
      <c r="A7485" t="str">
        <f>T("   481620")</f>
        <v xml:space="preserve">   481620</v>
      </c>
      <c r="B7485" t="s">
        <v>211</v>
      </c>
      <c r="C7485">
        <v>6772055</v>
      </c>
      <c r="D7485">
        <v>4420</v>
      </c>
    </row>
    <row r="7486" spans="1:4" x14ac:dyDescent="0.25">
      <c r="A7486" t="str">
        <f>T("   481810")</f>
        <v xml:space="preserve">   481810</v>
      </c>
      <c r="B7486" t="str">
        <f>T("   Papier hygiénique, en rouleaux d'une largeur &lt;= 36 cm")</f>
        <v xml:space="preserve">   Papier hygiénique, en rouleaux d'une largeur &lt;= 36 cm</v>
      </c>
      <c r="C7486">
        <v>900699</v>
      </c>
      <c r="D7486">
        <v>800</v>
      </c>
    </row>
    <row r="7487" spans="1:4" x14ac:dyDescent="0.25">
      <c r="A7487" t="str">
        <f>T("   482010")</f>
        <v xml:space="preserve">   482010</v>
      </c>
      <c r="B7487"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7487">
        <v>5848458</v>
      </c>
      <c r="D7487">
        <v>4880</v>
      </c>
    </row>
    <row r="7488" spans="1:4" x14ac:dyDescent="0.25">
      <c r="A7488" t="str">
        <f>T("   482020")</f>
        <v xml:space="preserve">   482020</v>
      </c>
      <c r="B7488" t="str">
        <f>T("   Cahiers pour l'écriture, en papier ou carton")</f>
        <v xml:space="preserve">   Cahiers pour l'écriture, en papier ou carton</v>
      </c>
      <c r="C7488">
        <v>196332267</v>
      </c>
      <c r="D7488">
        <v>347468</v>
      </c>
    </row>
    <row r="7489" spans="1:4" x14ac:dyDescent="0.25">
      <c r="A7489" t="str">
        <f>T("   520852")</f>
        <v xml:space="preserve">   520852</v>
      </c>
      <c r="B7489" t="str">
        <f>T("   Tissus de coton, imprimés, à armure toile, contenant &gt;= 85% en poids de coton, d'un poids &gt; 100 g/m² mais &lt;= 200 g/m²")</f>
        <v xml:space="preserve">   Tissus de coton, imprimés, à armure toile, contenant &gt;= 85% en poids de coton, d'un poids &gt; 100 g/m² mais &lt;= 200 g/m²</v>
      </c>
      <c r="C7489">
        <v>18370160</v>
      </c>
      <c r="D7489">
        <v>17750</v>
      </c>
    </row>
    <row r="7490" spans="1:4" x14ac:dyDescent="0.25">
      <c r="A7490" t="str">
        <f>T("   630900")</f>
        <v xml:space="preserve">   630900</v>
      </c>
      <c r="B7490" t="s">
        <v>273</v>
      </c>
      <c r="C7490">
        <v>14540667</v>
      </c>
      <c r="D7490">
        <v>31972</v>
      </c>
    </row>
    <row r="7491" spans="1:4" x14ac:dyDescent="0.25">
      <c r="A7491" t="str">
        <f>T("   690890")</f>
        <v xml:space="preserve">   690890</v>
      </c>
      <c r="B7491" t="s">
        <v>307</v>
      </c>
      <c r="C7491">
        <v>38861384</v>
      </c>
      <c r="D7491">
        <v>310988.71999999997</v>
      </c>
    </row>
    <row r="7492" spans="1:4" x14ac:dyDescent="0.25">
      <c r="A7492" t="str">
        <f>T("   731700")</f>
        <v xml:space="preserve">   731700</v>
      </c>
      <c r="B7492"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7492">
        <v>2814264</v>
      </c>
      <c r="D7492">
        <v>6950</v>
      </c>
    </row>
    <row r="7493" spans="1:4" x14ac:dyDescent="0.25">
      <c r="A7493" t="str">
        <f>T("   830242")</f>
        <v xml:space="preserve">   830242</v>
      </c>
      <c r="B7493" t="str">
        <f>T("   GARNITURES, FERRURES ET SIMIL., POUR MEUBLES, EN MÉTAUX COMMUNS (SAUF SERRURES ET VERROUS DE S¹RETÉ À CLEF ET SAUF CHARNIÈRES ET ROULETTES)")</f>
        <v xml:space="preserve">   GARNITURES, FERRURES ET SIMIL., POUR MEUBLES, EN MÉTAUX COMMUNS (SAUF SERRURES ET VERROUS DE S¹RETÉ À CLEF ET SAUF CHARNIÈRES ET ROULETTES)</v>
      </c>
      <c r="C7493">
        <v>2788475</v>
      </c>
      <c r="D7493">
        <v>2505</v>
      </c>
    </row>
    <row r="7494" spans="1:4" x14ac:dyDescent="0.25">
      <c r="A7494" t="str">
        <f>T("   841829")</f>
        <v xml:space="preserve">   841829</v>
      </c>
      <c r="B7494" t="str">
        <f>T("   Réfrigérateurs ménagers à absorption, non-électriques")</f>
        <v xml:space="preserve">   Réfrigérateurs ménagers à absorption, non-électriques</v>
      </c>
      <c r="C7494">
        <v>655960</v>
      </c>
      <c r="D7494">
        <v>7000</v>
      </c>
    </row>
    <row r="7495" spans="1:4" x14ac:dyDescent="0.25">
      <c r="A7495" t="str">
        <f>T("   842290")</f>
        <v xml:space="preserve">   842290</v>
      </c>
      <c r="B7495"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7495">
        <v>778196</v>
      </c>
      <c r="D7495">
        <v>400</v>
      </c>
    </row>
    <row r="7496" spans="1:4" x14ac:dyDescent="0.25">
      <c r="A7496" t="str">
        <f>T("   843880")</f>
        <v xml:space="preserve">   843880</v>
      </c>
      <c r="B7496" t="str">
        <f>T("   Machines et appareils pour la préparation ou la fabrication industrielles d'aliments ou de boissons, n.d.a.")</f>
        <v xml:space="preserve">   Machines et appareils pour la préparation ou la fabrication industrielles d'aliments ou de boissons, n.d.a.</v>
      </c>
      <c r="C7496">
        <v>3112769</v>
      </c>
      <c r="D7496">
        <v>1000</v>
      </c>
    </row>
    <row r="7497" spans="1:4" x14ac:dyDescent="0.25">
      <c r="A7497" t="str">
        <f>T("   851310")</f>
        <v xml:space="preserve">   851310</v>
      </c>
      <c r="B7497" t="str">
        <f>T("   Lampes électriques portatives, destinées à fonctionner au moyen de leur propre source d'énergie")</f>
        <v xml:space="preserve">   Lampes électriques portatives, destinées à fonctionner au moyen de leur propre source d'énergie</v>
      </c>
      <c r="C7497">
        <v>621237</v>
      </c>
      <c r="D7497">
        <v>272</v>
      </c>
    </row>
    <row r="7498" spans="1:4" x14ac:dyDescent="0.25">
      <c r="A7498" t="str">
        <f>T("   851660")</f>
        <v xml:space="preserve">   851660</v>
      </c>
      <c r="B7498"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7498">
        <v>2585135</v>
      </c>
      <c r="D7498">
        <v>1185</v>
      </c>
    </row>
    <row r="7499" spans="1:4" x14ac:dyDescent="0.25">
      <c r="A7499" t="str">
        <f>T("   852812")</f>
        <v xml:space="preserve">   852812</v>
      </c>
      <c r="B749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499">
        <v>4835342</v>
      </c>
      <c r="D7499">
        <v>9809</v>
      </c>
    </row>
    <row r="7500" spans="1:4" x14ac:dyDescent="0.25">
      <c r="A7500" t="str">
        <f>T("   870421")</f>
        <v xml:space="preserve">   870421</v>
      </c>
      <c r="B7500" t="s">
        <v>478</v>
      </c>
      <c r="C7500">
        <v>33959580</v>
      </c>
      <c r="D7500">
        <v>5322</v>
      </c>
    </row>
    <row r="7501" spans="1:4" x14ac:dyDescent="0.25">
      <c r="A7501" t="str">
        <f>T("   902219")</f>
        <v xml:space="preserve">   902219</v>
      </c>
      <c r="B7501" t="str">
        <f>T("   Appareils à rayons X (à usage autre que médical, chirurgical, dentaire ou vétérinaire)")</f>
        <v xml:space="preserve">   Appareils à rayons X (à usage autre que médical, chirurgical, dentaire ou vétérinaire)</v>
      </c>
      <c r="C7501">
        <v>324520295</v>
      </c>
      <c r="D7501">
        <v>9324</v>
      </c>
    </row>
    <row r="7502" spans="1:4" x14ac:dyDescent="0.25">
      <c r="A7502" t="str">
        <f>T("   940161")</f>
        <v xml:space="preserve">   940161</v>
      </c>
      <c r="B7502" t="str">
        <f>T("   Sièges, avec bâti en bois, rembourrés (non transformables en lits)")</f>
        <v xml:space="preserve">   Sièges, avec bâti en bois, rembourrés (non transformables en lits)</v>
      </c>
      <c r="C7502">
        <v>50190425</v>
      </c>
      <c r="D7502">
        <v>18663</v>
      </c>
    </row>
    <row r="7503" spans="1:4" x14ac:dyDescent="0.25">
      <c r="A7503" t="str">
        <f>T("   940180")</f>
        <v xml:space="preserve">   940180</v>
      </c>
      <c r="B7503" t="str">
        <f>T("   Sièges, n.d.a.")</f>
        <v xml:space="preserve">   Sièges, n.d.a.</v>
      </c>
      <c r="C7503">
        <v>12303956</v>
      </c>
      <c r="D7503">
        <v>5724</v>
      </c>
    </row>
    <row r="7504" spans="1:4" x14ac:dyDescent="0.25">
      <c r="A7504" t="str">
        <f>T("   940190")</f>
        <v xml:space="preserve">   940190</v>
      </c>
      <c r="B7504" t="str">
        <f>T("   Parties de sièges, n.d.a.")</f>
        <v xml:space="preserve">   Parties de sièges, n.d.a.</v>
      </c>
      <c r="C7504">
        <v>345132</v>
      </c>
      <c r="D7504">
        <v>45</v>
      </c>
    </row>
    <row r="7505" spans="1:4" x14ac:dyDescent="0.25">
      <c r="A7505" t="str">
        <f>T("   940310")</f>
        <v xml:space="preserve">   940310</v>
      </c>
      <c r="B7505" t="str">
        <f>T("   Meubles de bureau en métal (sauf sièges)")</f>
        <v xml:space="preserve">   Meubles de bureau en métal (sauf sièges)</v>
      </c>
      <c r="C7505">
        <v>20479798</v>
      </c>
      <c r="D7505">
        <v>20485</v>
      </c>
    </row>
    <row r="7506" spans="1:4" x14ac:dyDescent="0.25">
      <c r="A7506" t="str">
        <f>T("   940320")</f>
        <v xml:space="preserve">   940320</v>
      </c>
      <c r="B7506"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7506">
        <v>10514063</v>
      </c>
      <c r="D7506">
        <v>18544</v>
      </c>
    </row>
    <row r="7507" spans="1:4" x14ac:dyDescent="0.25">
      <c r="A7507" t="str">
        <f>T("   940330")</f>
        <v xml:space="preserve">   940330</v>
      </c>
      <c r="B7507" t="str">
        <f>T("   Meubles de bureau en bois (sauf sièges)")</f>
        <v xml:space="preserve">   Meubles de bureau en bois (sauf sièges)</v>
      </c>
      <c r="C7507">
        <v>61558487</v>
      </c>
      <c r="D7507">
        <v>99090</v>
      </c>
    </row>
    <row r="7508" spans="1:4" x14ac:dyDescent="0.25">
      <c r="A7508" t="str">
        <f>T("   940350")</f>
        <v xml:space="preserve">   940350</v>
      </c>
      <c r="B7508" t="str">
        <f>T("   Meubles pour chambres à coucher, en bois (sauf sièges)")</f>
        <v xml:space="preserve">   Meubles pour chambres à coucher, en bois (sauf sièges)</v>
      </c>
      <c r="C7508">
        <v>1876656</v>
      </c>
      <c r="D7508">
        <v>2490</v>
      </c>
    </row>
    <row r="7509" spans="1:4" x14ac:dyDescent="0.25">
      <c r="A7509" t="str">
        <f>T("   940380")</f>
        <v xml:space="preserve">   940380</v>
      </c>
      <c r="B7509" t="str">
        <f>T("   Meubles en rotin, osier, bambou ou autres matières (sauf métal, bois et matières plastiques)")</f>
        <v xml:space="preserve">   Meubles en rotin, osier, bambou ou autres matières (sauf métal, bois et matières plastiques)</v>
      </c>
      <c r="C7509">
        <v>1390949</v>
      </c>
      <c r="D7509">
        <v>850</v>
      </c>
    </row>
    <row r="7510" spans="1:4" x14ac:dyDescent="0.25">
      <c r="A7510" t="str">
        <f>T("   950390")</f>
        <v xml:space="preserve">   950390</v>
      </c>
      <c r="B7510" t="str">
        <f>T("   Jouets, n.d.a.")</f>
        <v xml:space="preserve">   Jouets, n.d.a.</v>
      </c>
      <c r="C7510">
        <v>281378</v>
      </c>
      <c r="D7510">
        <v>200</v>
      </c>
    </row>
    <row r="7511" spans="1:4" x14ac:dyDescent="0.25">
      <c r="A7511" t="str">
        <f>T("   960820")</f>
        <v xml:space="preserve">   960820</v>
      </c>
      <c r="B7511" t="str">
        <f>T("   Stylos et marqueurs à mèche feutre ou à autres pointes poreuses")</f>
        <v xml:space="preserve">   Stylos et marqueurs à mèche feutre ou à autres pointes poreuses</v>
      </c>
      <c r="C7511">
        <v>13985904</v>
      </c>
      <c r="D7511">
        <v>11037</v>
      </c>
    </row>
    <row r="7512" spans="1:4" x14ac:dyDescent="0.25">
      <c r="A7512" t="str">
        <f>T("MZ")</f>
        <v>MZ</v>
      </c>
      <c r="B7512" t="str">
        <f>T("Mozambique")</f>
        <v>Mozambique</v>
      </c>
    </row>
    <row r="7513" spans="1:4" x14ac:dyDescent="0.25">
      <c r="A7513" t="str">
        <f>T("   ZZ_Total_Produit_SH6")</f>
        <v xml:space="preserve">   ZZ_Total_Produit_SH6</v>
      </c>
      <c r="B7513" t="str">
        <f>T("   ZZ_Total_Produit_SH6")</f>
        <v xml:space="preserve">   ZZ_Total_Produit_SH6</v>
      </c>
      <c r="C7513">
        <v>3163990</v>
      </c>
      <c r="D7513">
        <v>5798</v>
      </c>
    </row>
    <row r="7514" spans="1:4" x14ac:dyDescent="0.25">
      <c r="A7514" t="str">
        <f>T("   151530")</f>
        <v xml:space="preserve">   151530</v>
      </c>
      <c r="B7514" t="str">
        <f>T("   Huile de ricin et ses fractions, même raffinées, mais non chimiquement modifiées")</f>
        <v xml:space="preserve">   Huile de ricin et ses fractions, même raffinées, mais non chimiquement modifiées</v>
      </c>
      <c r="C7514">
        <v>163990</v>
      </c>
      <c r="D7514">
        <v>98</v>
      </c>
    </row>
    <row r="7515" spans="1:4" x14ac:dyDescent="0.25">
      <c r="A7515" t="str">
        <f>T("   620590")</f>
        <v xml:space="preserve">   620590</v>
      </c>
      <c r="B751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515">
        <v>580000</v>
      </c>
      <c r="D7515">
        <v>1100</v>
      </c>
    </row>
    <row r="7516" spans="1:4" x14ac:dyDescent="0.25">
      <c r="A7516" t="str">
        <f>T("   732394")</f>
        <v xml:space="preserve">   732394</v>
      </c>
      <c r="B7516" t="s">
        <v>362</v>
      </c>
      <c r="C7516">
        <v>860000</v>
      </c>
      <c r="D7516">
        <v>1630</v>
      </c>
    </row>
    <row r="7517" spans="1:4" x14ac:dyDescent="0.25">
      <c r="A7517" t="str">
        <f>T("   940350")</f>
        <v xml:space="preserve">   940350</v>
      </c>
      <c r="B7517" t="str">
        <f>T("   Meubles pour chambres à coucher, en bois (sauf sièges)")</f>
        <v xml:space="preserve">   Meubles pour chambres à coucher, en bois (sauf sièges)</v>
      </c>
      <c r="C7517">
        <v>1280000</v>
      </c>
      <c r="D7517">
        <v>2440</v>
      </c>
    </row>
    <row r="7518" spans="1:4" x14ac:dyDescent="0.25">
      <c r="A7518" t="str">
        <f>T("   950299")</f>
        <v xml:space="preserve">   950299</v>
      </c>
      <c r="B7518" t="str">
        <f>T("   Parties et accessoires pour poupées représentant uniquement l'être humain, n.d.a.")</f>
        <v xml:space="preserve">   Parties et accessoires pour poupées représentant uniquement l'être humain, n.d.a.</v>
      </c>
      <c r="C7518">
        <v>280000</v>
      </c>
      <c r="D7518">
        <v>530</v>
      </c>
    </row>
    <row r="7519" spans="1:4" x14ac:dyDescent="0.25">
      <c r="A7519" t="str">
        <f>T("NE")</f>
        <v>NE</v>
      </c>
      <c r="B7519" t="str">
        <f>T("Niger")</f>
        <v>Niger</v>
      </c>
    </row>
    <row r="7520" spans="1:4" x14ac:dyDescent="0.25">
      <c r="A7520" t="str">
        <f>T("   ZZ_Total_Produit_SH6")</f>
        <v xml:space="preserve">   ZZ_Total_Produit_SH6</v>
      </c>
      <c r="B7520" t="str">
        <f>T("   ZZ_Total_Produit_SH6")</f>
        <v xml:space="preserve">   ZZ_Total_Produit_SH6</v>
      </c>
      <c r="C7520">
        <v>737059532.93499994</v>
      </c>
      <c r="D7520">
        <v>951744.76</v>
      </c>
    </row>
    <row r="7521" spans="1:4" x14ac:dyDescent="0.25">
      <c r="A7521" t="str">
        <f>T("   151190")</f>
        <v xml:space="preserve">   151190</v>
      </c>
      <c r="B7521" t="str">
        <f>T("   Huile de palme et ses fractions, même raffinées, mais non chimiquement modifiées (à l'excl. de l'huile de palme brute)")</f>
        <v xml:space="preserve">   Huile de palme et ses fractions, même raffinées, mais non chimiquement modifiées (à l'excl. de l'huile de palme brute)</v>
      </c>
      <c r="C7521">
        <v>19321731.934999999</v>
      </c>
      <c r="D7521">
        <v>51533.36</v>
      </c>
    </row>
    <row r="7522" spans="1:4" x14ac:dyDescent="0.25">
      <c r="A7522" t="str">
        <f>T("   271019")</f>
        <v xml:space="preserve">   271019</v>
      </c>
      <c r="B7522" t="str">
        <f>T("   Huiles moyennes et préparations, de pétrole ou de minéraux bitumineux, n.d.a.")</f>
        <v xml:space="preserve">   Huiles moyennes et préparations, de pétrole ou de minéraux bitumineux, n.d.a.</v>
      </c>
      <c r="C7522">
        <v>13905844</v>
      </c>
      <c r="D7522">
        <v>36943</v>
      </c>
    </row>
    <row r="7523" spans="1:4" x14ac:dyDescent="0.25">
      <c r="A7523" t="str">
        <f>T("   481910")</f>
        <v xml:space="preserve">   481910</v>
      </c>
      <c r="B7523" t="str">
        <f>T("   Boîtes et caisses en papier ou en carton ondulé")</f>
        <v xml:space="preserve">   Boîtes et caisses en papier ou en carton ondulé</v>
      </c>
      <c r="C7523">
        <v>5147974</v>
      </c>
      <c r="D7523">
        <v>18517</v>
      </c>
    </row>
    <row r="7524" spans="1:4" x14ac:dyDescent="0.25">
      <c r="A7524" t="str">
        <f>T("   610690")</f>
        <v xml:space="preserve">   610690</v>
      </c>
      <c r="B7524"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7524">
        <v>1660693</v>
      </c>
      <c r="D7524">
        <v>2600</v>
      </c>
    </row>
    <row r="7525" spans="1:4" x14ac:dyDescent="0.25">
      <c r="A7525" t="str">
        <f>T("   640590")</f>
        <v xml:space="preserve">   640590</v>
      </c>
      <c r="B7525" t="s">
        <v>283</v>
      </c>
      <c r="C7525">
        <v>4000000</v>
      </c>
      <c r="D7525">
        <v>19800</v>
      </c>
    </row>
    <row r="7526" spans="1:4" x14ac:dyDescent="0.25">
      <c r="A7526" t="str">
        <f>T("   730840")</f>
        <v xml:space="preserve">   730840</v>
      </c>
      <c r="B7526"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7526">
        <v>19537702</v>
      </c>
      <c r="D7526">
        <v>18000</v>
      </c>
    </row>
    <row r="7527" spans="1:4" x14ac:dyDescent="0.25">
      <c r="A7527" t="str">
        <f>T("   730900")</f>
        <v xml:space="preserve">   730900</v>
      </c>
      <c r="B7527" t="s">
        <v>350</v>
      </c>
      <c r="C7527">
        <v>840000</v>
      </c>
      <c r="D7527">
        <v>8800</v>
      </c>
    </row>
    <row r="7528" spans="1:4" x14ac:dyDescent="0.25">
      <c r="A7528" t="str">
        <f>T("   840999")</f>
        <v xml:space="preserve">   840999</v>
      </c>
      <c r="B7528"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7528">
        <v>802895</v>
      </c>
      <c r="D7528">
        <v>460</v>
      </c>
    </row>
    <row r="7529" spans="1:4" x14ac:dyDescent="0.25">
      <c r="A7529" t="str">
        <f>T("   842920")</f>
        <v xml:space="preserve">   842920</v>
      </c>
      <c r="B7529" t="str">
        <f>T("   Niveleuses autopropulsées")</f>
        <v xml:space="preserve">   Niveleuses autopropulsées</v>
      </c>
      <c r="C7529">
        <v>66000000</v>
      </c>
      <c r="D7529">
        <v>59963</v>
      </c>
    </row>
    <row r="7530" spans="1:4" x14ac:dyDescent="0.25">
      <c r="A7530" t="str">
        <f>T("   842940")</f>
        <v xml:space="preserve">   842940</v>
      </c>
      <c r="B7530" t="str">
        <f>T("   Rouleaux compresseurs et autres compacteuses, autopropulsés")</f>
        <v xml:space="preserve">   Rouleaux compresseurs et autres compacteuses, autopropulsés</v>
      </c>
      <c r="C7530">
        <v>56000000</v>
      </c>
      <c r="D7530">
        <v>35000</v>
      </c>
    </row>
    <row r="7531" spans="1:4" x14ac:dyDescent="0.25">
      <c r="A7531" t="str">
        <f>T("   842959")</f>
        <v xml:space="preserve">   842959</v>
      </c>
      <c r="B7531"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7531">
        <v>394669220</v>
      </c>
      <c r="D7531">
        <v>601030</v>
      </c>
    </row>
    <row r="7532" spans="1:4" x14ac:dyDescent="0.25">
      <c r="A7532" t="str">
        <f>T("   847130")</f>
        <v xml:space="preserve">   847130</v>
      </c>
      <c r="B7532"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7532">
        <v>407448</v>
      </c>
      <c r="D7532">
        <v>2.5</v>
      </c>
    </row>
    <row r="7533" spans="1:4" x14ac:dyDescent="0.25">
      <c r="A7533" t="str">
        <f>T("   850211")</f>
        <v xml:space="preserve">   850211</v>
      </c>
      <c r="B7533" t="s">
        <v>444</v>
      </c>
      <c r="C7533">
        <v>1500000</v>
      </c>
      <c r="D7533">
        <v>1200</v>
      </c>
    </row>
    <row r="7534" spans="1:4" x14ac:dyDescent="0.25">
      <c r="A7534" t="str">
        <f>T("   850212")</f>
        <v xml:space="preserve">   850212</v>
      </c>
      <c r="B7534"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7534">
        <v>1050000</v>
      </c>
      <c r="D7534">
        <v>1200</v>
      </c>
    </row>
    <row r="7535" spans="1:4" x14ac:dyDescent="0.25">
      <c r="A7535" t="str">
        <f>T("   851780")</f>
        <v xml:space="preserve">   851780</v>
      </c>
      <c r="B7535" t="s">
        <v>453</v>
      </c>
      <c r="C7535">
        <v>952680</v>
      </c>
      <c r="D7535">
        <v>8.8000000000000007</v>
      </c>
    </row>
    <row r="7536" spans="1:4" x14ac:dyDescent="0.25">
      <c r="A7536" t="str">
        <f>T("   853949")</f>
        <v xml:space="preserve">   853949</v>
      </c>
      <c r="B7536" t="str">
        <f>T("   Lampes et tubes à rayons ultraviolets ou infrarouges")</f>
        <v xml:space="preserve">   Lampes et tubes à rayons ultraviolets ou infrarouges</v>
      </c>
      <c r="C7536">
        <v>807054</v>
      </c>
      <c r="D7536">
        <v>3.1</v>
      </c>
    </row>
    <row r="7537" spans="1:4" x14ac:dyDescent="0.25">
      <c r="A7537" t="str">
        <f>T("   870322")</f>
        <v xml:space="preserve">   870322</v>
      </c>
      <c r="B7537" t="s">
        <v>472</v>
      </c>
      <c r="C7537">
        <v>10994932</v>
      </c>
      <c r="D7537">
        <v>7414</v>
      </c>
    </row>
    <row r="7538" spans="1:4" x14ac:dyDescent="0.25">
      <c r="A7538" t="str">
        <f>T("   870323")</f>
        <v xml:space="preserve">   870323</v>
      </c>
      <c r="B7538" t="s">
        <v>473</v>
      </c>
      <c r="C7538">
        <v>1974890</v>
      </c>
      <c r="D7538">
        <v>1680</v>
      </c>
    </row>
    <row r="7539" spans="1:4" x14ac:dyDescent="0.25">
      <c r="A7539" t="str">
        <f>T("   870331")</f>
        <v xml:space="preserve">   870331</v>
      </c>
      <c r="B7539" t="s">
        <v>475</v>
      </c>
      <c r="C7539">
        <v>31226480</v>
      </c>
      <c r="D7539">
        <v>3320</v>
      </c>
    </row>
    <row r="7540" spans="1:4" x14ac:dyDescent="0.25">
      <c r="A7540" t="str">
        <f>T("   870333")</f>
        <v xml:space="preserve">   870333</v>
      </c>
      <c r="B7540" t="s">
        <v>477</v>
      </c>
      <c r="C7540">
        <v>8399964</v>
      </c>
      <c r="D7540">
        <v>2860</v>
      </c>
    </row>
    <row r="7541" spans="1:4" x14ac:dyDescent="0.25">
      <c r="A7541" t="str">
        <f>T("   870422")</f>
        <v xml:space="preserve">   870422</v>
      </c>
      <c r="B7541" t="s">
        <v>479</v>
      </c>
      <c r="C7541">
        <v>2000000</v>
      </c>
      <c r="D7541">
        <v>9010</v>
      </c>
    </row>
    <row r="7542" spans="1:4" x14ac:dyDescent="0.25">
      <c r="A7542" t="str">
        <f>T("   870432")</f>
        <v xml:space="preserve">   870432</v>
      </c>
      <c r="B7542" t="s">
        <v>482</v>
      </c>
      <c r="C7542">
        <v>54567164</v>
      </c>
      <c r="D7542">
        <v>6000</v>
      </c>
    </row>
    <row r="7543" spans="1:4" x14ac:dyDescent="0.25">
      <c r="A7543" t="str">
        <f>T("   871631")</f>
        <v xml:space="preserve">   871631</v>
      </c>
      <c r="B7543" t="str">
        <f>T("   Remorques-citernes ne circulant pas sur rails")</f>
        <v xml:space="preserve">   Remorques-citernes ne circulant pas sur rails</v>
      </c>
      <c r="C7543">
        <v>20400000</v>
      </c>
      <c r="D7543">
        <v>44000</v>
      </c>
    </row>
    <row r="7544" spans="1:4" x14ac:dyDescent="0.25">
      <c r="A7544" t="str">
        <f>T("   871640")</f>
        <v xml:space="preserve">   871640</v>
      </c>
      <c r="B754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7544">
        <v>17892500</v>
      </c>
      <c r="D7544">
        <v>14400</v>
      </c>
    </row>
    <row r="7545" spans="1:4" x14ac:dyDescent="0.25">
      <c r="A7545" t="str">
        <f>T("   902214")</f>
        <v xml:space="preserve">   902214</v>
      </c>
      <c r="B7545"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7545">
        <v>3000361</v>
      </c>
      <c r="D7545">
        <v>8000</v>
      </c>
    </row>
    <row r="7546" spans="1:4" x14ac:dyDescent="0.25">
      <c r="A7546" t="str">
        <f>T("NG")</f>
        <v>NG</v>
      </c>
      <c r="B7546" t="str">
        <f>T("Nigéria")</f>
        <v>Nigéria</v>
      </c>
    </row>
    <row r="7547" spans="1:4" x14ac:dyDescent="0.25">
      <c r="A7547" t="str">
        <f>T("   ZZ_Total_Produit_SH6")</f>
        <v xml:space="preserve">   ZZ_Total_Produit_SH6</v>
      </c>
      <c r="B7547" t="str">
        <f>T("   ZZ_Total_Produit_SH6")</f>
        <v xml:space="preserve">   ZZ_Total_Produit_SH6</v>
      </c>
      <c r="C7547">
        <v>26256836637.75</v>
      </c>
      <c r="D7547">
        <v>89586084.569999993</v>
      </c>
    </row>
    <row r="7548" spans="1:4" x14ac:dyDescent="0.25">
      <c r="A7548" t="str">
        <f>T("   010310")</f>
        <v xml:space="preserve">   010310</v>
      </c>
      <c r="B7548" t="str">
        <f>T("   Porcins reproducteurs de race pure")</f>
        <v xml:space="preserve">   Porcins reproducteurs de race pure</v>
      </c>
      <c r="C7548">
        <v>75750</v>
      </c>
      <c r="D7548">
        <v>250</v>
      </c>
    </row>
    <row r="7549" spans="1:4" x14ac:dyDescent="0.25">
      <c r="A7549" t="str">
        <f>T("   030379")</f>
        <v xml:space="preserve">   030379</v>
      </c>
      <c r="B7549" t="s">
        <v>17</v>
      </c>
      <c r="C7549">
        <v>2350000</v>
      </c>
      <c r="D7549">
        <v>5875</v>
      </c>
    </row>
    <row r="7550" spans="1:4" x14ac:dyDescent="0.25">
      <c r="A7550" t="str">
        <f>T("   030731")</f>
        <v xml:space="preserve">   030731</v>
      </c>
      <c r="B7550" t="str">
        <f>T("   Moules [Mytilus spp., Perna spp.], même séparées de leur coquille, vivantes, fraîches ou réfrigérées")</f>
        <v xml:space="preserve">   Moules [Mytilus spp., Perna spp.], même séparées de leur coquille, vivantes, fraîches ou réfrigérées</v>
      </c>
      <c r="C7550">
        <v>48000</v>
      </c>
      <c r="D7550">
        <v>250</v>
      </c>
    </row>
    <row r="7551" spans="1:4" x14ac:dyDescent="0.25">
      <c r="A7551" t="str">
        <f>T("   040210")</f>
        <v xml:space="preserve">   040210</v>
      </c>
      <c r="B7551"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7551">
        <v>47257444</v>
      </c>
      <c r="D7551">
        <v>25546</v>
      </c>
    </row>
    <row r="7552" spans="1:4" x14ac:dyDescent="0.25">
      <c r="A7552" t="str">
        <f>T("   040291")</f>
        <v xml:space="preserve">   040291</v>
      </c>
      <c r="B7552"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7552">
        <v>41157272</v>
      </c>
      <c r="D7552">
        <v>8624</v>
      </c>
    </row>
    <row r="7553" spans="1:4" x14ac:dyDescent="0.25">
      <c r="A7553" t="str">
        <f>T("   040299")</f>
        <v xml:space="preserve">   040299</v>
      </c>
      <c r="B7553"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7553">
        <v>314000</v>
      </c>
      <c r="D7553">
        <v>88</v>
      </c>
    </row>
    <row r="7554" spans="1:4" x14ac:dyDescent="0.25">
      <c r="A7554" t="str">
        <f>T("   070190")</f>
        <v xml:space="preserve">   070190</v>
      </c>
      <c r="B7554" t="str">
        <f>T("   Pommes de terre, à l'état frais ou réfrigéré (à l'excl. des pommes de terre de semence)")</f>
        <v xml:space="preserve">   Pommes de terre, à l'état frais ou réfrigéré (à l'excl. des pommes de terre de semence)</v>
      </c>
      <c r="C7554">
        <v>715000</v>
      </c>
      <c r="D7554">
        <v>11000</v>
      </c>
    </row>
    <row r="7555" spans="1:4" x14ac:dyDescent="0.25">
      <c r="A7555" t="str">
        <f>T("   070310")</f>
        <v xml:space="preserve">   070310</v>
      </c>
      <c r="B7555" t="str">
        <f>T("   Oignons et échalotes, à l'état frais ou réfrigéré")</f>
        <v xml:space="preserve">   Oignons et échalotes, à l'état frais ou réfrigéré</v>
      </c>
      <c r="C7555">
        <v>487500</v>
      </c>
      <c r="D7555">
        <v>3250</v>
      </c>
    </row>
    <row r="7556" spans="1:4" x14ac:dyDescent="0.25">
      <c r="A7556" t="str">
        <f>T("   071339")</f>
        <v xml:space="preserve">   071339</v>
      </c>
      <c r="B7556" t="str">
        <f>T("   Haricots 'Vigna spp., Phaseolus spp.', secs, écossés, même décortiqués ou cassés (à l'excl. des haricots des espèces 'Vigna mungo L. Hepper ou Vigna radiata L. Wilczek', des haricots 'petits rouges' [haricots Adzuki] et des haricots communs)")</f>
        <v xml:space="preserve">   Haricots 'Vigna spp., Phaseolus spp.', secs, écossés, même décortiqués ou cassés (à l'excl. des haricots des espèces 'Vigna mungo L. Hepper ou Vigna radiata L. Wilczek', des haricots 'petits rouges' [haricots Adzuki] et des haricots communs)</v>
      </c>
      <c r="C7556">
        <v>4950000</v>
      </c>
      <c r="D7556">
        <v>63750</v>
      </c>
    </row>
    <row r="7557" spans="1:4" x14ac:dyDescent="0.25">
      <c r="A7557" t="str">
        <f>T("   080290")</f>
        <v xml:space="preserve">   080290</v>
      </c>
      <c r="B7557"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7557">
        <v>1697090</v>
      </c>
      <c r="D7557">
        <v>13082</v>
      </c>
    </row>
    <row r="7558" spans="1:4" x14ac:dyDescent="0.25">
      <c r="A7558" t="str">
        <f>T("   090420")</f>
        <v xml:space="preserve">   090420</v>
      </c>
      <c r="B7558" t="str">
        <f>T("   Piments du genre 'Capsicum' ou du genre 'Pimenta', séchés ou broyés ou pulvérisés")</f>
        <v xml:space="preserve">   Piments du genre 'Capsicum' ou du genre 'Pimenta', séchés ou broyés ou pulvérisés</v>
      </c>
      <c r="C7558">
        <v>1206000</v>
      </c>
      <c r="D7558">
        <v>13400</v>
      </c>
    </row>
    <row r="7559" spans="1:4" x14ac:dyDescent="0.25">
      <c r="A7559" t="str">
        <f>T("   091010")</f>
        <v xml:space="preserve">   091010</v>
      </c>
      <c r="B7559" t="str">
        <f>T("   Gingembre")</f>
        <v xml:space="preserve">   Gingembre</v>
      </c>
      <c r="C7559">
        <v>9974900</v>
      </c>
      <c r="D7559">
        <v>110410</v>
      </c>
    </row>
    <row r="7560" spans="1:4" x14ac:dyDescent="0.25">
      <c r="A7560" t="str">
        <f>T("   100190")</f>
        <v xml:space="preserve">   100190</v>
      </c>
      <c r="B7560" t="str">
        <f>T("   Froment [blé] et méteil (à l'excl. du froment [blé] dur)")</f>
        <v xml:space="preserve">   Froment [blé] et méteil (à l'excl. du froment [blé] dur)</v>
      </c>
      <c r="C7560">
        <v>7500</v>
      </c>
      <c r="D7560">
        <v>50</v>
      </c>
    </row>
    <row r="7561" spans="1:4" x14ac:dyDescent="0.25">
      <c r="A7561" t="str">
        <f>T("   100590")</f>
        <v xml:space="preserve">   100590</v>
      </c>
      <c r="B7561" t="str">
        <f>T("   Maïs (autre que de semence)")</f>
        <v xml:space="preserve">   Maïs (autre que de semence)</v>
      </c>
      <c r="C7561">
        <v>13700</v>
      </c>
      <c r="D7561">
        <v>260</v>
      </c>
    </row>
    <row r="7562" spans="1:4" x14ac:dyDescent="0.25">
      <c r="A7562" t="str">
        <f>T("   100630")</f>
        <v xml:space="preserve">   100630</v>
      </c>
      <c r="B7562" t="str">
        <f>T("   Riz semi-blanchi ou blanchi, même poli ou glacé")</f>
        <v xml:space="preserve">   Riz semi-blanchi ou blanchi, même poli ou glacé</v>
      </c>
      <c r="C7562">
        <v>12658016.631999999</v>
      </c>
      <c r="D7562">
        <v>50000</v>
      </c>
    </row>
    <row r="7563" spans="1:4" x14ac:dyDescent="0.25">
      <c r="A7563" t="str">
        <f>T("   100700")</f>
        <v xml:space="preserve">   100700</v>
      </c>
      <c r="B7563" t="str">
        <f>T("   Sorgho à grains")</f>
        <v xml:space="preserve">   Sorgho à grains</v>
      </c>
      <c r="C7563">
        <v>2480500</v>
      </c>
      <c r="D7563">
        <v>33740</v>
      </c>
    </row>
    <row r="7564" spans="1:4" x14ac:dyDescent="0.25">
      <c r="A7564" t="str">
        <f>T("   110100")</f>
        <v xml:space="preserve">   110100</v>
      </c>
      <c r="B7564" t="str">
        <f>T("   Farines de froment [blé] ou de méteil")</f>
        <v xml:space="preserve">   Farines de froment [blé] ou de méteil</v>
      </c>
      <c r="C7564">
        <v>17718664.118000001</v>
      </c>
      <c r="D7564">
        <v>40740</v>
      </c>
    </row>
    <row r="7565" spans="1:4" x14ac:dyDescent="0.25">
      <c r="A7565" t="str">
        <f>T("   110510")</f>
        <v xml:space="preserve">   110510</v>
      </c>
      <c r="B7565" t="str">
        <f>T("   Farine, semoule et poudre de pommes de terre")</f>
        <v xml:space="preserve">   Farine, semoule et poudre de pommes de terre</v>
      </c>
      <c r="C7565">
        <v>90000</v>
      </c>
      <c r="D7565">
        <v>180</v>
      </c>
    </row>
    <row r="7566" spans="1:4" x14ac:dyDescent="0.25">
      <c r="A7566" t="str">
        <f>T("   110620")</f>
        <v xml:space="preserve">   110620</v>
      </c>
      <c r="B7566" t="str">
        <f>T("   Farines, semoules et poudres de sagou ou des racines ou tubercules du n° 0714")</f>
        <v xml:space="preserve">   Farines, semoules et poudres de sagou ou des racines ou tubercules du n° 0714</v>
      </c>
      <c r="C7566">
        <v>210000</v>
      </c>
      <c r="D7566">
        <v>1500</v>
      </c>
    </row>
    <row r="7567" spans="1:4" x14ac:dyDescent="0.25">
      <c r="A7567" t="str">
        <f>T("   120100")</f>
        <v xml:space="preserve">   120100</v>
      </c>
      <c r="B7567" t="str">
        <f>T("   Fèves de soja, même concassées")</f>
        <v xml:space="preserve">   Fèves de soja, même concassées</v>
      </c>
      <c r="C7567">
        <v>591520</v>
      </c>
      <c r="D7567">
        <v>6000</v>
      </c>
    </row>
    <row r="7568" spans="1:4" x14ac:dyDescent="0.25">
      <c r="A7568" t="str">
        <f>T("   120799")</f>
        <v xml:space="preserve">   120799</v>
      </c>
      <c r="B7568" t="s">
        <v>28</v>
      </c>
      <c r="C7568">
        <v>290000</v>
      </c>
      <c r="D7568">
        <v>1500</v>
      </c>
    </row>
    <row r="7569" spans="1:4" x14ac:dyDescent="0.25">
      <c r="A7569" t="str">
        <f>T("   121190")</f>
        <v xml:space="preserve">   121190</v>
      </c>
      <c r="B7569" t="s">
        <v>31</v>
      </c>
      <c r="C7569">
        <v>3965920</v>
      </c>
      <c r="D7569">
        <v>78060</v>
      </c>
    </row>
    <row r="7570" spans="1:4" x14ac:dyDescent="0.25">
      <c r="A7570" t="str">
        <f>T("   130120")</f>
        <v xml:space="preserve">   130120</v>
      </c>
      <c r="B7570" t="str">
        <f>T("   Gomme arabique")</f>
        <v xml:space="preserve">   Gomme arabique</v>
      </c>
      <c r="C7570">
        <v>9680</v>
      </c>
      <c r="D7570">
        <v>88</v>
      </c>
    </row>
    <row r="7571" spans="1:4" x14ac:dyDescent="0.25">
      <c r="A7571" t="str">
        <f>T("   130190")</f>
        <v xml:space="preserve">   130190</v>
      </c>
      <c r="B7571" t="str">
        <f>T("   Gommes, résines, gommes-résines, baumes et autres oléorésines, naturelles (à l'excl. de la gomme arabique)")</f>
        <v xml:space="preserve">   Gommes, résines, gommes-résines, baumes et autres oléorésines, naturelles (à l'excl. de la gomme arabique)</v>
      </c>
      <c r="C7571">
        <v>6000</v>
      </c>
      <c r="D7571">
        <v>60</v>
      </c>
    </row>
    <row r="7572" spans="1:4" x14ac:dyDescent="0.25">
      <c r="A7572" t="str">
        <f>T("   140120")</f>
        <v xml:space="preserve">   140120</v>
      </c>
      <c r="B7572" t="str">
        <f>T("   Rotins")</f>
        <v xml:space="preserve">   Rotins</v>
      </c>
      <c r="C7572">
        <v>215400</v>
      </c>
      <c r="D7572">
        <v>4940</v>
      </c>
    </row>
    <row r="7573" spans="1:4" x14ac:dyDescent="0.25">
      <c r="A7573" t="str">
        <f>T("   150410")</f>
        <v xml:space="preserve">   150410</v>
      </c>
      <c r="B7573" t="str">
        <f>T("   Huiles de foies de poissons et leurs fractions, même raffinées, mais non chimiquement modifiées")</f>
        <v xml:space="preserve">   Huiles de foies de poissons et leurs fractions, même raffinées, mais non chimiquement modifiées</v>
      </c>
      <c r="C7573">
        <v>50000</v>
      </c>
      <c r="D7573">
        <v>50</v>
      </c>
    </row>
    <row r="7574" spans="1:4" x14ac:dyDescent="0.25">
      <c r="A7574" t="str">
        <f>T("   151490")</f>
        <v xml:space="preserve">   151490</v>
      </c>
      <c r="B7574" t="str">
        <f>T("   HUILES DE NAVETTE, DE COLZA OU DE MOUTARDE ET LEURS FRACTIONS, MÊME RAFFINÉES, MAIS NON CHIMIQUEMENT MODIFIEES (À L'EXCL. DES HUILES BRUTES)")</f>
        <v xml:space="preserve">   HUILES DE NAVETTE, DE COLZA OU DE MOUTARDE ET LEURS FRACTIONS, MÊME RAFFINÉES, MAIS NON CHIMIQUEMENT MODIFIEES (À L'EXCL. DES HUILES BRUTES)</v>
      </c>
      <c r="C7574">
        <v>106680</v>
      </c>
      <c r="D7574">
        <v>232</v>
      </c>
    </row>
    <row r="7575" spans="1:4" x14ac:dyDescent="0.25">
      <c r="A7575" t="str">
        <f>T("   151620")</f>
        <v xml:space="preserve">   151620</v>
      </c>
      <c r="B7575"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7575">
        <v>12026000</v>
      </c>
      <c r="D7575">
        <v>32875</v>
      </c>
    </row>
    <row r="7576" spans="1:4" x14ac:dyDescent="0.25">
      <c r="A7576" t="str">
        <f>T("   160413")</f>
        <v xml:space="preserve">   160413</v>
      </c>
      <c r="B7576"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7576">
        <v>666500</v>
      </c>
      <c r="D7576">
        <v>230</v>
      </c>
    </row>
    <row r="7577" spans="1:4" x14ac:dyDescent="0.25">
      <c r="A7577" t="str">
        <f>T("   160414")</f>
        <v xml:space="preserve">   160414</v>
      </c>
      <c r="B7577"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7577">
        <v>32000</v>
      </c>
      <c r="D7577">
        <v>20</v>
      </c>
    </row>
    <row r="7578" spans="1:4" x14ac:dyDescent="0.25">
      <c r="A7578" t="str">
        <f>T("   170290")</f>
        <v xml:space="preserve">   170290</v>
      </c>
      <c r="B7578" t="s">
        <v>46</v>
      </c>
      <c r="C7578">
        <v>592500</v>
      </c>
      <c r="D7578">
        <v>1500</v>
      </c>
    </row>
    <row r="7579" spans="1:4" x14ac:dyDescent="0.25">
      <c r="A7579" t="str">
        <f>T("   170410")</f>
        <v xml:space="preserve">   170410</v>
      </c>
      <c r="B7579" t="str">
        <f>T("   Gommes à mâcher [chewing-gum], même enrobées de sucre")</f>
        <v xml:space="preserve">   Gommes à mâcher [chewing-gum], même enrobées de sucre</v>
      </c>
      <c r="C7579">
        <v>1728210</v>
      </c>
      <c r="D7579">
        <v>3841</v>
      </c>
    </row>
    <row r="7580" spans="1:4" x14ac:dyDescent="0.25">
      <c r="A7580" t="str">
        <f>T("   170490")</f>
        <v xml:space="preserve">   170490</v>
      </c>
      <c r="B7580" t="str">
        <f>T("   Sucreries sans cacao, y.c. le chocolat blanc (à l'excl. des gommes à mâcher)")</f>
        <v xml:space="preserve">   Sucreries sans cacao, y.c. le chocolat blanc (à l'excl. des gommes à mâcher)</v>
      </c>
      <c r="C7580">
        <v>6651150</v>
      </c>
      <c r="D7580">
        <v>18862</v>
      </c>
    </row>
    <row r="7581" spans="1:4" x14ac:dyDescent="0.25">
      <c r="A7581" t="str">
        <f>T("   180632")</f>
        <v xml:space="preserve">   180632</v>
      </c>
      <c r="B7581"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7581">
        <v>255750</v>
      </c>
      <c r="D7581">
        <v>110</v>
      </c>
    </row>
    <row r="7582" spans="1:4" x14ac:dyDescent="0.25">
      <c r="A7582" t="str">
        <f>T("   190110")</f>
        <v xml:space="preserve">   190110</v>
      </c>
      <c r="B7582" t="s">
        <v>48</v>
      </c>
      <c r="C7582">
        <v>18078455</v>
      </c>
      <c r="D7582">
        <v>43365</v>
      </c>
    </row>
    <row r="7583" spans="1:4" x14ac:dyDescent="0.25">
      <c r="A7583" t="str">
        <f>T("   190190")</f>
        <v xml:space="preserve">   190190</v>
      </c>
      <c r="B7583" t="s">
        <v>50</v>
      </c>
      <c r="C7583">
        <v>545398</v>
      </c>
      <c r="D7583">
        <v>323</v>
      </c>
    </row>
    <row r="7584" spans="1:4" x14ac:dyDescent="0.25">
      <c r="A7584" t="str">
        <f>T("   190230")</f>
        <v xml:space="preserve">   190230</v>
      </c>
      <c r="B7584" t="str">
        <f>T("   Pâtes alimentaires, cuites ou autrement préparées (à l'excl. des pâtes alimentaires farcies)")</f>
        <v xml:space="preserve">   Pâtes alimentaires, cuites ou autrement préparées (à l'excl. des pâtes alimentaires farcies)</v>
      </c>
      <c r="C7584">
        <v>505000</v>
      </c>
      <c r="D7584">
        <v>1900</v>
      </c>
    </row>
    <row r="7585" spans="1:4" x14ac:dyDescent="0.25">
      <c r="A7585" t="str">
        <f>T("   190530")</f>
        <v xml:space="preserve">   190530</v>
      </c>
      <c r="B7585" t="str">
        <f>T("   BISCUITS ADDITIONNES D'EDULCORANTS, GAUFRES ET GAUFRETTES, MÊME ADDITIONNES DE CACAO (À L'EXCL. DES GAUFRES ET GAUFRETTES AYANT UNE TENEUR EN EAU &gt; 10%)")</f>
        <v xml:space="preserve">   BISCUITS ADDITIONNES D'EDULCORANTS, GAUFRES ET GAUFRETTES, MÊME ADDITIONNES DE CACAO (À L'EXCL. DES GAUFRES ET GAUFRETTES AYANT UNE TENEUR EN EAU &gt; 10%)</v>
      </c>
      <c r="C7585">
        <v>210850</v>
      </c>
      <c r="D7585">
        <v>360</v>
      </c>
    </row>
    <row r="7586" spans="1:4" x14ac:dyDescent="0.25">
      <c r="A7586" t="str">
        <f>T("   190590")</f>
        <v xml:space="preserve">   190590</v>
      </c>
      <c r="B7586" t="s">
        <v>52</v>
      </c>
      <c r="C7586">
        <v>133080750</v>
      </c>
      <c r="D7586">
        <v>642401</v>
      </c>
    </row>
    <row r="7587" spans="1:4" x14ac:dyDescent="0.25">
      <c r="A7587" t="str">
        <f>T("   200290")</f>
        <v xml:space="preserve">   200290</v>
      </c>
      <c r="B7587"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7587">
        <v>26742425</v>
      </c>
      <c r="D7587">
        <v>87646</v>
      </c>
    </row>
    <row r="7588" spans="1:4" x14ac:dyDescent="0.25">
      <c r="A7588" t="str">
        <f>T("   200390")</f>
        <v xml:space="preserve">   200390</v>
      </c>
      <c r="B7588"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7588">
        <v>3200</v>
      </c>
      <c r="D7588">
        <v>8</v>
      </c>
    </row>
    <row r="7589" spans="1:4" x14ac:dyDescent="0.25">
      <c r="A7589" t="str">
        <f>T("   200980")</f>
        <v xml:space="preserve">   200980</v>
      </c>
      <c r="B7589"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7589">
        <v>9720260</v>
      </c>
      <c r="D7589">
        <v>50925</v>
      </c>
    </row>
    <row r="7590" spans="1:4" x14ac:dyDescent="0.25">
      <c r="A7590" t="str">
        <f>T("   200990")</f>
        <v xml:space="preserve">   200990</v>
      </c>
      <c r="B7590"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7590">
        <v>4166658</v>
      </c>
      <c r="D7590">
        <v>21413</v>
      </c>
    </row>
    <row r="7591" spans="1:4" x14ac:dyDescent="0.25">
      <c r="A7591" t="str">
        <f>T("   210210")</f>
        <v xml:space="preserve">   210210</v>
      </c>
      <c r="B7591" t="str">
        <f>T("   Levures vivantes")</f>
        <v xml:space="preserve">   Levures vivantes</v>
      </c>
      <c r="C7591">
        <v>125800</v>
      </c>
      <c r="D7591">
        <v>185</v>
      </c>
    </row>
    <row r="7592" spans="1:4" x14ac:dyDescent="0.25">
      <c r="A7592" t="str">
        <f>T("   210390")</f>
        <v xml:space="preserve">   210390</v>
      </c>
      <c r="B7592"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7592">
        <v>125140</v>
      </c>
      <c r="D7592">
        <v>390</v>
      </c>
    </row>
    <row r="7593" spans="1:4" x14ac:dyDescent="0.25">
      <c r="A7593" t="str">
        <f>T("   210410")</f>
        <v xml:space="preserve">   210410</v>
      </c>
      <c r="B7593" t="str">
        <f>T("   Préparations pour soupes, potages ou bouillons; soupes, potages ou bouillons préparés")</f>
        <v xml:space="preserve">   Préparations pour soupes, potages ou bouillons; soupes, potages ou bouillons préparés</v>
      </c>
      <c r="C7593">
        <v>415388641</v>
      </c>
      <c r="D7593">
        <v>238528</v>
      </c>
    </row>
    <row r="7594" spans="1:4" x14ac:dyDescent="0.25">
      <c r="A7594" t="str">
        <f>T("   210690")</f>
        <v xml:space="preserve">   210690</v>
      </c>
      <c r="B7594" t="str">
        <f>T("   Préparations alimentaires, n.d.a.")</f>
        <v xml:space="preserve">   Préparations alimentaires, n.d.a.</v>
      </c>
      <c r="C7594">
        <v>1750000</v>
      </c>
      <c r="D7594">
        <v>28250</v>
      </c>
    </row>
    <row r="7595" spans="1:4" x14ac:dyDescent="0.25">
      <c r="A7595" t="str">
        <f>T("   220210")</f>
        <v xml:space="preserve">   220210</v>
      </c>
      <c r="B7595"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7595">
        <v>524409</v>
      </c>
      <c r="D7595">
        <v>6210</v>
      </c>
    </row>
    <row r="7596" spans="1:4" x14ac:dyDescent="0.25">
      <c r="A7596" t="str">
        <f>T("   220290")</f>
        <v xml:space="preserve">   220290</v>
      </c>
      <c r="B7596" t="str">
        <f>T("   BOISSONS NON-ALCOOLIQUES (À L'EXCL. DES EAUX, DES JUS DE FRUITS OU DE LÉGUMES AINSI QUE DU LAIT)")</f>
        <v xml:space="preserve">   BOISSONS NON-ALCOOLIQUES (À L'EXCL. DES EAUX, DES JUS DE FRUITS OU DE LÉGUMES AINSI QUE DU LAIT)</v>
      </c>
      <c r="C7596">
        <v>128937667</v>
      </c>
      <c r="D7596">
        <v>1363484</v>
      </c>
    </row>
    <row r="7597" spans="1:4" x14ac:dyDescent="0.25">
      <c r="A7597" t="str">
        <f>T("   220300")</f>
        <v xml:space="preserve">   220300</v>
      </c>
      <c r="B7597" t="str">
        <f>T("   Bières de malt")</f>
        <v xml:space="preserve">   Bières de malt</v>
      </c>
      <c r="C7597">
        <v>276263212</v>
      </c>
      <c r="D7597">
        <v>1457643</v>
      </c>
    </row>
    <row r="7598" spans="1:4" x14ac:dyDescent="0.25">
      <c r="A7598" t="str">
        <f>T("   220590")</f>
        <v xml:space="preserve">   220590</v>
      </c>
      <c r="B7598"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7598">
        <v>12267500</v>
      </c>
      <c r="D7598">
        <v>5000</v>
      </c>
    </row>
    <row r="7599" spans="1:4" x14ac:dyDescent="0.25">
      <c r="A7599" t="str">
        <f>T("   220710")</f>
        <v xml:space="preserve">   220710</v>
      </c>
      <c r="B7599" t="str">
        <f>T("   Alcool éthylique non dénaturé d'un titre alcoométrique volumique &gt;= 80% vol")</f>
        <v xml:space="preserve">   Alcool éthylique non dénaturé d'un titre alcoométrique volumique &gt;= 80% vol</v>
      </c>
      <c r="C7599">
        <v>180000</v>
      </c>
      <c r="D7599">
        <v>480</v>
      </c>
    </row>
    <row r="7600" spans="1:4" x14ac:dyDescent="0.25">
      <c r="A7600" t="str">
        <f>T("   220890")</f>
        <v xml:space="preserve">   220890</v>
      </c>
      <c r="B7600" t="s">
        <v>62</v>
      </c>
      <c r="C7600">
        <v>84000</v>
      </c>
      <c r="D7600">
        <v>90</v>
      </c>
    </row>
    <row r="7601" spans="1:4" x14ac:dyDescent="0.25">
      <c r="A7601" t="str">
        <f>T("   230230")</f>
        <v xml:space="preserve">   230230</v>
      </c>
      <c r="B7601" t="str">
        <f>T("   Sons, remoulages et autres résidus, même agglomérés sous forme de pellets, du criblage, de la mouture ou d'autres traitements du froment")</f>
        <v xml:space="preserve">   Sons, remoulages et autres résidus, même agglomérés sous forme de pellets, du criblage, de la mouture ou d'autres traitements du froment</v>
      </c>
      <c r="C7601">
        <v>11843094</v>
      </c>
      <c r="D7601">
        <v>652125</v>
      </c>
    </row>
    <row r="7602" spans="1:4" x14ac:dyDescent="0.25">
      <c r="A7602" t="str">
        <f>T("   230240")</f>
        <v xml:space="preserve">   230240</v>
      </c>
      <c r="B7602" t="str">
        <f>T("   SONS, REMOULAGES ET AUTRES RÉSIDUS, MÊME AGGLOMÉRÉS SOUS FORME DE PELLETS, DU CRIBLAGE, DE LA MOUTURE OU D'AUTRES TRAITEMENTS DES CÉRÉALES (À L'EXCL. DU MAÏS OU DU FROMENT)")</f>
        <v xml:space="preserve">   SONS, REMOULAGES ET AUTRES RÉSIDUS, MÊME AGGLOMÉRÉS SOUS FORME DE PELLETS, DU CRIBLAGE, DE LA MOUTURE OU D'AUTRES TRAITEMENTS DES CÉRÉALES (À L'EXCL. DU MAÏS OU DU FROMENT)</v>
      </c>
      <c r="C7602">
        <v>16200</v>
      </c>
      <c r="D7602">
        <v>400</v>
      </c>
    </row>
    <row r="7603" spans="1:4" x14ac:dyDescent="0.25">
      <c r="A7603" t="str">
        <f>T("   240130")</f>
        <v xml:space="preserve">   240130</v>
      </c>
      <c r="B7603" t="str">
        <f>T("   Déchets de tabac")</f>
        <v xml:space="preserve">   Déchets de tabac</v>
      </c>
      <c r="C7603">
        <v>280494</v>
      </c>
      <c r="D7603">
        <v>300</v>
      </c>
    </row>
    <row r="7604" spans="1:4" x14ac:dyDescent="0.25">
      <c r="A7604" t="str">
        <f>T("   240220")</f>
        <v xml:space="preserve">   240220</v>
      </c>
      <c r="B7604" t="str">
        <f>T("   Cigarettes contenant du tabac")</f>
        <v xml:space="preserve">   Cigarettes contenant du tabac</v>
      </c>
      <c r="C7604">
        <v>1080316797</v>
      </c>
      <c r="D7604">
        <v>461780</v>
      </c>
    </row>
    <row r="7605" spans="1:4" x14ac:dyDescent="0.25">
      <c r="A7605" t="str">
        <f>T("   250100")</f>
        <v xml:space="preserve">   250100</v>
      </c>
      <c r="B7605" t="s">
        <v>65</v>
      </c>
      <c r="C7605">
        <v>1266750</v>
      </c>
      <c r="D7605">
        <v>50670</v>
      </c>
    </row>
    <row r="7606" spans="1:4" x14ac:dyDescent="0.25">
      <c r="A7606" t="str">
        <f>T("   250590")</f>
        <v xml:space="preserve">   250590</v>
      </c>
      <c r="B7606"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7606">
        <v>3461750</v>
      </c>
      <c r="D7606">
        <v>138470</v>
      </c>
    </row>
    <row r="7607" spans="1:4" x14ac:dyDescent="0.25">
      <c r="A7607" t="str">
        <f>T("   250700")</f>
        <v xml:space="preserve">   250700</v>
      </c>
      <c r="B7607" t="str">
        <f>T("   Kaolin et autres argiles kaoliniques, même calcinés")</f>
        <v xml:space="preserve">   Kaolin et autres argiles kaoliniques, même calcinés</v>
      </c>
      <c r="C7607">
        <v>3280905</v>
      </c>
      <c r="D7607">
        <v>24303</v>
      </c>
    </row>
    <row r="7608" spans="1:4" x14ac:dyDescent="0.25">
      <c r="A7608" t="str">
        <f>T("   250810")</f>
        <v xml:space="preserve">   250810</v>
      </c>
      <c r="B7608" t="str">
        <f>T("   Bentonite")</f>
        <v xml:space="preserve">   Bentonite</v>
      </c>
      <c r="C7608">
        <v>116640</v>
      </c>
      <c r="D7608">
        <v>750</v>
      </c>
    </row>
    <row r="7609" spans="1:4" x14ac:dyDescent="0.25">
      <c r="A7609" t="str">
        <f>T("   251319")</f>
        <v xml:space="preserve">   251319</v>
      </c>
      <c r="B7609" t="str">
        <f>T("   Pierre ponce, broyée ou pulvérisée")</f>
        <v xml:space="preserve">   Pierre ponce, broyée ou pulvérisée</v>
      </c>
      <c r="C7609">
        <v>45820</v>
      </c>
      <c r="D7609">
        <v>58</v>
      </c>
    </row>
    <row r="7610" spans="1:4" x14ac:dyDescent="0.25">
      <c r="A7610" t="str">
        <f>T("   252230")</f>
        <v xml:space="preserve">   252230</v>
      </c>
      <c r="B7610" t="str">
        <f>T("   Chaux hydraulique (à l'excl. de l'oxyde et de l'hydroxyde de calcium)")</f>
        <v xml:space="preserve">   Chaux hydraulique (à l'excl. de l'oxyde et de l'hydroxyde de calcium)</v>
      </c>
      <c r="C7610">
        <v>223765</v>
      </c>
      <c r="D7610">
        <v>1288</v>
      </c>
    </row>
    <row r="7611" spans="1:4" x14ac:dyDescent="0.25">
      <c r="A7611" t="str">
        <f>T("   271000")</f>
        <v xml:space="preserve">   271000</v>
      </c>
      <c r="B7611" t="str">
        <f>T("   HUILES DE PETROLE OU DE MINERAUX BITUMINEUX (AUTRES QUE LES HUILES BRUTES); PRÉPARATIONS N.D.A. CONTENANT EN POIDS &gt;= 70% D'HUILES DE PETROLE OU DE MINERAUX BITUMINEUX ET DONT CES HUILES CONSTITUENT L'ELEMENT DE BASE")</f>
        <v xml:space="preserve">   HUILES DE PETROLE OU DE MINERAUX BITUMINEUX (AUTRES QUE LES HUILES BRUTES); PRÉPARATIONS N.D.A. CONTENANT EN POIDS &gt;= 70% D'HUILES DE PETROLE OU DE MINERAUX BITUMINEUX ET DONT CES HUILES CONSTITUENT L'ELEMENT DE BASE</v>
      </c>
      <c r="C7611">
        <v>2809500</v>
      </c>
      <c r="D7611">
        <v>6770</v>
      </c>
    </row>
    <row r="7612" spans="1:4" x14ac:dyDescent="0.25">
      <c r="A7612" t="str">
        <f>T("   271011")</f>
        <v xml:space="preserve">   271011</v>
      </c>
      <c r="B7612"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7612">
        <v>4341051298</v>
      </c>
      <c r="D7612">
        <v>15836634</v>
      </c>
    </row>
    <row r="7613" spans="1:4" x14ac:dyDescent="0.25">
      <c r="A7613" t="str">
        <f>T("   271019")</f>
        <v xml:space="preserve">   271019</v>
      </c>
      <c r="B7613" t="str">
        <f>T("   Huiles moyennes et préparations, de pétrole ou de minéraux bitumineux, n.d.a.")</f>
        <v xml:space="preserve">   Huiles moyennes et préparations, de pétrole ou de minéraux bitumineux, n.d.a.</v>
      </c>
      <c r="C7613">
        <v>9793670716</v>
      </c>
      <c r="D7613">
        <v>48165788</v>
      </c>
    </row>
    <row r="7614" spans="1:4" x14ac:dyDescent="0.25">
      <c r="A7614" t="str">
        <f>T("   271113")</f>
        <v xml:space="preserve">   271113</v>
      </c>
      <c r="B7614" t="str">
        <f>T("   Butanes, liquéfiés (à l'excl. des butanes d'une pureté &gt;= 95% en n-butane ou en isobutane)")</f>
        <v xml:space="preserve">   Butanes, liquéfiés (à l'excl. des butanes d'une pureté &gt;= 95% en n-butane ou en isobutane)</v>
      </c>
      <c r="C7614">
        <v>1248166367</v>
      </c>
      <c r="D7614">
        <v>2504148</v>
      </c>
    </row>
    <row r="7615" spans="1:4" x14ac:dyDescent="0.25">
      <c r="A7615" t="str">
        <f>T("   280110")</f>
        <v xml:space="preserve">   280110</v>
      </c>
      <c r="B7615" t="str">
        <f>T("   Chlore")</f>
        <v xml:space="preserve">   Chlore</v>
      </c>
      <c r="C7615">
        <v>654300</v>
      </c>
      <c r="D7615">
        <v>7849</v>
      </c>
    </row>
    <row r="7616" spans="1:4" x14ac:dyDescent="0.25">
      <c r="A7616" t="str">
        <f>T("   280429")</f>
        <v xml:space="preserve">   280429</v>
      </c>
      <c r="B7616" t="str">
        <f>T("   Gaz rares (à l'excl. de l'argon)")</f>
        <v xml:space="preserve">   Gaz rares (à l'excl. de l'argon)</v>
      </c>
      <c r="C7616">
        <v>20264000</v>
      </c>
      <c r="D7616">
        <v>156355</v>
      </c>
    </row>
    <row r="7617" spans="1:4" x14ac:dyDescent="0.25">
      <c r="A7617" t="str">
        <f>T("   280440")</f>
        <v xml:space="preserve">   280440</v>
      </c>
      <c r="B7617" t="str">
        <f>T("   Oxygène")</f>
        <v xml:space="preserve">   Oxygène</v>
      </c>
      <c r="C7617">
        <v>1969704</v>
      </c>
      <c r="D7617">
        <v>8750</v>
      </c>
    </row>
    <row r="7618" spans="1:4" x14ac:dyDescent="0.25">
      <c r="A7618" t="str">
        <f>T("   280610")</f>
        <v xml:space="preserve">   280610</v>
      </c>
      <c r="B7618" t="str">
        <f>T("   Chlorure d'hydrogène [acide chlorhydrique]")</f>
        <v xml:space="preserve">   Chlorure d'hydrogène [acide chlorhydrique]</v>
      </c>
      <c r="C7618">
        <v>1023975</v>
      </c>
      <c r="D7618">
        <v>6220</v>
      </c>
    </row>
    <row r="7619" spans="1:4" x14ac:dyDescent="0.25">
      <c r="A7619" t="str">
        <f>T("   280700")</f>
        <v xml:space="preserve">   280700</v>
      </c>
      <c r="B7619" t="str">
        <f>T("   Acide sulfurique; oléum")</f>
        <v xml:space="preserve">   Acide sulfurique; oléum</v>
      </c>
      <c r="C7619">
        <v>201000</v>
      </c>
      <c r="D7619">
        <v>1200</v>
      </c>
    </row>
    <row r="7620" spans="1:4" x14ac:dyDescent="0.25">
      <c r="A7620" t="str">
        <f>T("   280800")</f>
        <v xml:space="preserve">   280800</v>
      </c>
      <c r="B7620" t="str">
        <f>T("   Acide nitrique; acides sulfonitriques")</f>
        <v xml:space="preserve">   Acide nitrique; acides sulfonitriques</v>
      </c>
      <c r="C7620">
        <v>9375</v>
      </c>
      <c r="D7620">
        <v>100</v>
      </c>
    </row>
    <row r="7621" spans="1:4" x14ac:dyDescent="0.25">
      <c r="A7621" t="str">
        <f>T("   280920")</f>
        <v xml:space="preserve">   280920</v>
      </c>
      <c r="B7621" t="str">
        <f>T("   Acide phosphorique; acides polyphosphoriques, de constitution chimique définie ou non")</f>
        <v xml:space="preserve">   Acide phosphorique; acides polyphosphoriques, de constitution chimique définie ou non</v>
      </c>
      <c r="C7621">
        <v>28125</v>
      </c>
      <c r="D7621">
        <v>375</v>
      </c>
    </row>
    <row r="7622" spans="1:4" x14ac:dyDescent="0.25">
      <c r="A7622" t="str">
        <f>T("   281119")</f>
        <v xml:space="preserve">   281119</v>
      </c>
      <c r="B7622" t="s">
        <v>68</v>
      </c>
      <c r="C7622">
        <v>6940500</v>
      </c>
      <c r="D7622">
        <v>21000</v>
      </c>
    </row>
    <row r="7623" spans="1:4" x14ac:dyDescent="0.25">
      <c r="A7623" t="str">
        <f>T("   281129")</f>
        <v xml:space="preserve">   281129</v>
      </c>
      <c r="B7623" t="str">
        <f>T("   COMPOSÉS OXYGÉNÉS INORGANIQUES DES ÉLÉMENTS NON-MÉTALLIQUES (À L'EXCL. DU PENTAOXYDE DE DIPHOSPHORE, DES OXYDES DE BORE AINSI QUE DES DIOXYDES DE CARBONE OU DE SILICIUM)")</f>
        <v xml:space="preserve">   COMPOSÉS OXYGÉNÉS INORGANIQUES DES ÉLÉMENTS NON-MÉTALLIQUES (À L'EXCL. DU PENTAOXYDE DE DIPHOSPHORE, DES OXYDES DE BORE AINSI QUE DES DIOXYDES DE CARBONE OU DE SILICIUM)</v>
      </c>
      <c r="C7623">
        <v>295000</v>
      </c>
      <c r="D7623">
        <v>1276</v>
      </c>
    </row>
    <row r="7624" spans="1:4" x14ac:dyDescent="0.25">
      <c r="A7624" t="str">
        <f>T("   281511")</f>
        <v xml:space="preserve">   281511</v>
      </c>
      <c r="B7624" t="str">
        <f>T("   Hydroxyde de sodium [soude caustique], solide")</f>
        <v xml:space="preserve">   Hydroxyde de sodium [soude caustique], solide</v>
      </c>
      <c r="C7624">
        <v>8877480</v>
      </c>
      <c r="D7624">
        <v>134628</v>
      </c>
    </row>
    <row r="7625" spans="1:4" x14ac:dyDescent="0.25">
      <c r="A7625" t="str">
        <f>T("   281512")</f>
        <v xml:space="preserve">   281512</v>
      </c>
      <c r="B7625" t="str">
        <f>T("   Hydroxyde de sodium en solution aqueuse [lessive de soude caustique]")</f>
        <v xml:space="preserve">   Hydroxyde de sodium en solution aqueuse [lessive de soude caustique]</v>
      </c>
      <c r="C7625">
        <v>6501780</v>
      </c>
      <c r="D7625">
        <v>40950</v>
      </c>
    </row>
    <row r="7626" spans="1:4" x14ac:dyDescent="0.25">
      <c r="A7626" t="str">
        <f>T("   282720")</f>
        <v xml:space="preserve">   282720</v>
      </c>
      <c r="B7626" t="str">
        <f>T("   Chlorure de calcium")</f>
        <v xml:space="preserve">   Chlorure de calcium</v>
      </c>
      <c r="C7626">
        <v>579375</v>
      </c>
      <c r="D7626">
        <v>7725</v>
      </c>
    </row>
    <row r="7627" spans="1:4" x14ac:dyDescent="0.25">
      <c r="A7627" t="str">
        <f>T("   282810")</f>
        <v xml:space="preserve">   282810</v>
      </c>
      <c r="B7627" t="str">
        <f>T("   Hypochlorites de calcium, y.c. l'hypochlorite de calcium du commerce")</f>
        <v xml:space="preserve">   Hypochlorites de calcium, y.c. l'hypochlorite de calcium du commerce</v>
      </c>
      <c r="C7627">
        <v>24375</v>
      </c>
      <c r="D7627">
        <v>325</v>
      </c>
    </row>
    <row r="7628" spans="1:4" x14ac:dyDescent="0.25">
      <c r="A7628" t="str">
        <f>T("   282890")</f>
        <v xml:space="preserve">   282890</v>
      </c>
      <c r="B7628" t="str">
        <f>T("   Hypochlorites, chlorites et hypobromites (à l'excl. des hypochlorites de calcium)")</f>
        <v xml:space="preserve">   Hypochlorites, chlorites et hypobromites (à l'excl. des hypochlorites de calcium)</v>
      </c>
      <c r="C7628">
        <v>19535075</v>
      </c>
      <c r="D7628">
        <v>92044</v>
      </c>
    </row>
    <row r="7629" spans="1:4" x14ac:dyDescent="0.25">
      <c r="A7629" t="str">
        <f>T("   283322")</f>
        <v xml:space="preserve">   283322</v>
      </c>
      <c r="B7629" t="str">
        <f>T("   SULFATE D'ALUMINIUM")</f>
        <v xml:space="preserve">   SULFATE D'ALUMINIUM</v>
      </c>
      <c r="C7629">
        <v>60000</v>
      </c>
      <c r="D7629">
        <v>30</v>
      </c>
    </row>
    <row r="7630" spans="1:4" x14ac:dyDescent="0.25">
      <c r="A7630" t="str">
        <f>T("   283523")</f>
        <v xml:space="preserve">   283523</v>
      </c>
      <c r="B7630" t="str">
        <f>T("   PHOSPHATE DE TRISODIUM")</f>
        <v xml:space="preserve">   PHOSPHATE DE TRISODIUM</v>
      </c>
      <c r="C7630">
        <v>56250</v>
      </c>
      <c r="D7630">
        <v>750</v>
      </c>
    </row>
    <row r="7631" spans="1:4" x14ac:dyDescent="0.25">
      <c r="A7631" t="str">
        <f>T("   283610")</f>
        <v xml:space="preserve">   283610</v>
      </c>
      <c r="B7631" t="str">
        <f>T("   Carbonates d'ammonium, y.c. le carbonate d'ammonium du commerce")</f>
        <v xml:space="preserve">   Carbonates d'ammonium, y.c. le carbonate d'ammonium du commerce</v>
      </c>
      <c r="C7631">
        <v>81000</v>
      </c>
      <c r="D7631">
        <v>540</v>
      </c>
    </row>
    <row r="7632" spans="1:4" x14ac:dyDescent="0.25">
      <c r="A7632" t="str">
        <f>T("   283630")</f>
        <v xml:space="preserve">   283630</v>
      </c>
      <c r="B7632" t="str">
        <f>T("   Hydrogénocarbonate [bicarbonate] de sodium")</f>
        <v xml:space="preserve">   Hydrogénocarbonate [bicarbonate] de sodium</v>
      </c>
      <c r="C7632">
        <v>633500</v>
      </c>
      <c r="D7632">
        <v>3660</v>
      </c>
    </row>
    <row r="7633" spans="1:4" x14ac:dyDescent="0.25">
      <c r="A7633" t="str">
        <f>T("   283650")</f>
        <v xml:space="preserve">   283650</v>
      </c>
      <c r="B7633" t="str">
        <f>T("   Carbonate de calcium")</f>
        <v xml:space="preserve">   Carbonate de calcium</v>
      </c>
      <c r="C7633">
        <v>5076204</v>
      </c>
      <c r="D7633">
        <v>52999</v>
      </c>
    </row>
    <row r="7634" spans="1:4" x14ac:dyDescent="0.25">
      <c r="A7634" t="str">
        <f>T("   283699")</f>
        <v xml:space="preserve">   283699</v>
      </c>
      <c r="B7634" t="s">
        <v>69</v>
      </c>
      <c r="C7634">
        <v>114000</v>
      </c>
      <c r="D7634">
        <v>760</v>
      </c>
    </row>
    <row r="7635" spans="1:4" x14ac:dyDescent="0.25">
      <c r="A7635" t="str">
        <f>T("   284700")</f>
        <v xml:space="preserve">   284700</v>
      </c>
      <c r="B7635" t="str">
        <f>T("   Peroxyde d'hydrogène [eau oxygénée], même solidifié avec de l'urée")</f>
        <v xml:space="preserve">   Peroxyde d'hydrogène [eau oxygénée], même solidifié avec de l'urée</v>
      </c>
      <c r="C7635">
        <v>210000</v>
      </c>
      <c r="D7635">
        <v>30</v>
      </c>
    </row>
    <row r="7636" spans="1:4" x14ac:dyDescent="0.25">
      <c r="A7636" t="str">
        <f>T("   284990")</f>
        <v xml:space="preserve">   284990</v>
      </c>
      <c r="B7636" t="str">
        <f>T("   Carbures, de constitution chimique définie ou non (à l'excl. des carbures de calcium et de silicium)")</f>
        <v xml:space="preserve">   Carbures, de constitution chimique définie ou non (à l'excl. des carbures de calcium et de silicium)</v>
      </c>
      <c r="C7636">
        <v>337500</v>
      </c>
      <c r="D7636">
        <v>2250</v>
      </c>
    </row>
    <row r="7637" spans="1:4" x14ac:dyDescent="0.25">
      <c r="A7637" t="str">
        <f>T("   285100")</f>
        <v xml:space="preserve">   285100</v>
      </c>
      <c r="B7637" t="str">
        <f>T("   Composés inorganiques, y.c. les eaux distillées, de conductibilité ou de même degré de pureté, n.d.a.; air liquide, y.c. l'air liquide dont les gaz ont été éliminés; air comprimé; amalgames (autres que de métaux précieux)")</f>
        <v xml:space="preserve">   Composés inorganiques, y.c. les eaux distillées, de conductibilité ou de même degré de pureté, n.d.a.; air liquide, y.c. l'air liquide dont les gaz ont été éliminés; air comprimé; amalgames (autres que de métaux précieux)</v>
      </c>
      <c r="C7637">
        <v>600000</v>
      </c>
      <c r="D7637">
        <v>300</v>
      </c>
    </row>
    <row r="7638" spans="1:4" x14ac:dyDescent="0.25">
      <c r="A7638" t="str">
        <f>T("   290517")</f>
        <v xml:space="preserve">   290517</v>
      </c>
      <c r="B7638" t="str">
        <f>T("   Dodécane-1-ol [alcool laurique], hexadécane-1-ol [alcool cétylique] et octadécane-1-ol [alcool stéarique]")</f>
        <v xml:space="preserve">   Dodécane-1-ol [alcool laurique], hexadécane-1-ol [alcool cétylique] et octadécane-1-ol [alcool stéarique]</v>
      </c>
      <c r="C7638">
        <v>97200</v>
      </c>
      <c r="D7638">
        <v>125</v>
      </c>
    </row>
    <row r="7639" spans="1:4" x14ac:dyDescent="0.25">
      <c r="A7639" t="str">
        <f>T("   290531")</f>
        <v xml:space="preserve">   290531</v>
      </c>
      <c r="B7639" t="str">
        <f>T("   ÉTHYLÈNE GLYCOL [ÉTHANEDIOL]")</f>
        <v xml:space="preserve">   ÉTHYLÈNE GLYCOL [ÉTHANEDIOL]</v>
      </c>
      <c r="C7639">
        <v>1202016</v>
      </c>
      <c r="D7639">
        <v>800</v>
      </c>
    </row>
    <row r="7640" spans="1:4" x14ac:dyDescent="0.25">
      <c r="A7640" t="str">
        <f>T("   292690")</f>
        <v xml:space="preserve">   292690</v>
      </c>
      <c r="B7640" t="str">
        <f>T("   Composés à fonction nitrile (à l'excl. de l'acrylonitrile, de la 1-cyanoguanidine [dicyandiamide], du fenproporex [DCI] et ses sels, et du méthadone [DCI]-intermédiaire [4-cyano-2-diméthylamino-4,4-diphénylbutane])")</f>
        <v xml:space="preserve">   Composés à fonction nitrile (à l'excl. de l'acrylonitrile, de la 1-cyanoguanidine [dicyandiamide], du fenproporex [DCI] et ses sels, et du méthadone [DCI]-intermédiaire [4-cyano-2-diméthylamino-4,4-diphénylbutane])</v>
      </c>
      <c r="C7640">
        <v>5750</v>
      </c>
      <c r="D7640">
        <v>23</v>
      </c>
    </row>
    <row r="7641" spans="1:4" x14ac:dyDescent="0.25">
      <c r="A7641" t="str">
        <f>T("   293627")</f>
        <v xml:space="preserve">   293627</v>
      </c>
      <c r="B7641" t="str">
        <f>T("   Vitamine C et ses dérivés utilisés principalement en tant que vitamines")</f>
        <v xml:space="preserve">   Vitamine C et ses dérivés utilisés principalement en tant que vitamines</v>
      </c>
      <c r="C7641">
        <v>450000</v>
      </c>
      <c r="D7641">
        <v>500</v>
      </c>
    </row>
    <row r="7642" spans="1:4" x14ac:dyDescent="0.25">
      <c r="A7642" t="str">
        <f>T("   300230")</f>
        <v xml:space="preserve">   300230</v>
      </c>
      <c r="B7642" t="str">
        <f>T("   Vaccins pour la médecine vétérinaire")</f>
        <v xml:space="preserve">   Vaccins pour la médecine vétérinaire</v>
      </c>
      <c r="C7642">
        <v>168480</v>
      </c>
      <c r="D7642">
        <v>200</v>
      </c>
    </row>
    <row r="7643" spans="1:4" x14ac:dyDescent="0.25">
      <c r="A7643" t="str">
        <f>T("   300290")</f>
        <v xml:space="preserve">   300290</v>
      </c>
      <c r="B7643" t="str">
        <f>T("   Sang humain; sang animal préparé en vue d'usages thérapeutiques, prophylactiques ou de diagnostic; toxines, cultures de micro-organismes et produits simil. (à l'excl. des levures et des vaccins)")</f>
        <v xml:space="preserve">   Sang humain; sang animal préparé en vue d'usages thérapeutiques, prophylactiques ou de diagnostic; toxines, cultures de micro-organismes et produits simil. (à l'excl. des levures et des vaccins)</v>
      </c>
      <c r="C7643">
        <v>150000</v>
      </c>
      <c r="D7643">
        <v>540</v>
      </c>
    </row>
    <row r="7644" spans="1:4" x14ac:dyDescent="0.25">
      <c r="A7644" t="str">
        <f>T("   300510")</f>
        <v xml:space="preserve">   300510</v>
      </c>
      <c r="B7644"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7644">
        <v>106200</v>
      </c>
      <c r="D7644">
        <v>108</v>
      </c>
    </row>
    <row r="7645" spans="1:4" x14ac:dyDescent="0.25">
      <c r="A7645" t="str">
        <f>T("   300590")</f>
        <v xml:space="preserve">   300590</v>
      </c>
      <c r="B7645" t="s">
        <v>80</v>
      </c>
      <c r="C7645">
        <v>75000</v>
      </c>
      <c r="D7645">
        <v>50</v>
      </c>
    </row>
    <row r="7646" spans="1:4" x14ac:dyDescent="0.25">
      <c r="A7646" t="str">
        <f>T("   300620")</f>
        <v xml:space="preserve">   300620</v>
      </c>
      <c r="B7646" t="str">
        <f>T("   Réactifs destinés à la détermination des groupes ou des facteurs sanguins")</f>
        <v xml:space="preserve">   Réactifs destinés à la détermination des groupes ou des facteurs sanguins</v>
      </c>
      <c r="C7646">
        <v>80000</v>
      </c>
      <c r="D7646">
        <v>100</v>
      </c>
    </row>
    <row r="7647" spans="1:4" x14ac:dyDescent="0.25">
      <c r="A7647" t="str">
        <f>T("   300630")</f>
        <v xml:space="preserve">   300630</v>
      </c>
      <c r="B7647" t="str">
        <f>T("   Préparations opacifiantes pour examens radiographiques; réactifs de diagnostic conçus pour être employés sur le patient")</f>
        <v xml:space="preserve">   Préparations opacifiantes pour examens radiographiques; réactifs de diagnostic conçus pour être employés sur le patient</v>
      </c>
      <c r="C7647">
        <v>232000</v>
      </c>
      <c r="D7647">
        <v>155</v>
      </c>
    </row>
    <row r="7648" spans="1:4" x14ac:dyDescent="0.25">
      <c r="A7648" t="str">
        <f>T("   300650")</f>
        <v xml:space="preserve">   300650</v>
      </c>
      <c r="B7648" t="str">
        <f>T("   Trousses et boîtes de pharmacie garnies, pour soins de première urgence")</f>
        <v xml:space="preserve">   Trousses et boîtes de pharmacie garnies, pour soins de première urgence</v>
      </c>
      <c r="C7648">
        <v>324000</v>
      </c>
      <c r="D7648">
        <v>14</v>
      </c>
    </row>
    <row r="7649" spans="1:4" x14ac:dyDescent="0.25">
      <c r="A7649" t="str">
        <f>T("   300670")</f>
        <v xml:space="preserve">   300670</v>
      </c>
      <c r="B7649" t="s">
        <v>82</v>
      </c>
      <c r="C7649">
        <v>29808</v>
      </c>
      <c r="D7649">
        <v>15</v>
      </c>
    </row>
    <row r="7650" spans="1:4" x14ac:dyDescent="0.25">
      <c r="A7650" t="str">
        <f>T("   310520")</f>
        <v xml:space="preserve">   310520</v>
      </c>
      <c r="B7650" t="str">
        <f>T("   Engrais minéraux ou chimiques contenant les trois éléments fertilisants : azote, phosphore et potassium (à l'excl. des produits présentés soit en tablettes ou formes simil., soit en emballages d'un poids brut &lt;= 10 kg)")</f>
        <v xml:space="preserve">   Engrais minéraux ou chimiques contenant les trois éléments fertilisants : azote, phosphore et potassium (à l'excl. des produits présentés soit en tablettes ou formes simil., soit en emballages d'un poids brut &lt;= 10 kg)</v>
      </c>
      <c r="C7650">
        <v>3896250</v>
      </c>
      <c r="D7650">
        <v>155850</v>
      </c>
    </row>
    <row r="7651" spans="1:4" x14ac:dyDescent="0.25">
      <c r="A7651" t="str">
        <f>T("   320300")</f>
        <v xml:space="preserve">   320300</v>
      </c>
      <c r="B7651" t="s">
        <v>84</v>
      </c>
      <c r="C7651">
        <v>880125</v>
      </c>
      <c r="D7651">
        <v>505</v>
      </c>
    </row>
    <row r="7652" spans="1:4" x14ac:dyDescent="0.25">
      <c r="A7652" t="str">
        <f>T("   320820")</f>
        <v xml:space="preserve">   320820</v>
      </c>
      <c r="B7652" t="s">
        <v>92</v>
      </c>
      <c r="C7652">
        <v>1468235</v>
      </c>
      <c r="D7652">
        <v>1447</v>
      </c>
    </row>
    <row r="7653" spans="1:4" x14ac:dyDescent="0.25">
      <c r="A7653" t="str">
        <f>T("   320910")</f>
        <v xml:space="preserve">   320910</v>
      </c>
      <c r="B7653" t="str">
        <f>T("   Peintures et vernis à base de polymères acryliques ou vinyliques, dispersés ou dissous dans un milieu aqueux")</f>
        <v xml:space="preserve">   Peintures et vernis à base de polymères acryliques ou vinyliques, dispersés ou dissous dans un milieu aqueux</v>
      </c>
      <c r="C7653">
        <v>36104642</v>
      </c>
      <c r="D7653">
        <v>26354</v>
      </c>
    </row>
    <row r="7654" spans="1:4" x14ac:dyDescent="0.25">
      <c r="A7654" t="str">
        <f>T("   320990")</f>
        <v xml:space="preserve">   320990</v>
      </c>
      <c r="B7654"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7654">
        <v>70200</v>
      </c>
      <c r="D7654">
        <v>150</v>
      </c>
    </row>
    <row r="7655" spans="1:4" x14ac:dyDescent="0.25">
      <c r="A7655" t="str">
        <f>T("   321410")</f>
        <v xml:space="preserve">   321410</v>
      </c>
      <c r="B7655" t="str">
        <f>T("   Mastic de vitrier, ciments de résine et autres mastics; enduits utilisés en peinture")</f>
        <v xml:space="preserve">   Mastic de vitrier, ciments de résine et autres mastics; enduits utilisés en peinture</v>
      </c>
      <c r="C7655">
        <v>144000</v>
      </c>
      <c r="D7655">
        <v>240</v>
      </c>
    </row>
    <row r="7656" spans="1:4" x14ac:dyDescent="0.25">
      <c r="A7656" t="str">
        <f>T("   321511")</f>
        <v xml:space="preserve">   321511</v>
      </c>
      <c r="B7656" t="str">
        <f>T("   Encres d'imprimerie, noires, même concentrées ou sous formes solides")</f>
        <v xml:space="preserve">   Encres d'imprimerie, noires, même concentrées ou sous formes solides</v>
      </c>
      <c r="C7656">
        <v>2668550</v>
      </c>
      <c r="D7656">
        <v>1000</v>
      </c>
    </row>
    <row r="7657" spans="1:4" x14ac:dyDescent="0.25">
      <c r="A7657" t="str">
        <f>T("   321519")</f>
        <v xml:space="preserve">   321519</v>
      </c>
      <c r="B7657" t="str">
        <f>T("   Encres d'imprimerie, même concentrées ou sous formes solides (à l'excl. des encres noires)")</f>
        <v xml:space="preserve">   Encres d'imprimerie, même concentrées ou sous formes solides (à l'excl. des encres noires)</v>
      </c>
      <c r="C7657">
        <v>10353348</v>
      </c>
      <c r="D7657">
        <v>12274</v>
      </c>
    </row>
    <row r="7658" spans="1:4" x14ac:dyDescent="0.25">
      <c r="A7658" t="str">
        <f>T("   330300")</f>
        <v xml:space="preserve">   330300</v>
      </c>
      <c r="B7658"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7658">
        <v>51000</v>
      </c>
      <c r="D7658">
        <v>30</v>
      </c>
    </row>
    <row r="7659" spans="1:4" x14ac:dyDescent="0.25">
      <c r="A7659" t="str">
        <f>T("   330420")</f>
        <v xml:space="preserve">   330420</v>
      </c>
      <c r="B7659" t="str">
        <f>T("   Produits de maquillage pour les yeux")</f>
        <v xml:space="preserve">   Produits de maquillage pour les yeux</v>
      </c>
      <c r="C7659">
        <v>264350</v>
      </c>
      <c r="D7659">
        <v>311</v>
      </c>
    </row>
    <row r="7660" spans="1:4" x14ac:dyDescent="0.25">
      <c r="A7660" t="str">
        <f>T("   330491")</f>
        <v xml:space="preserve">   330491</v>
      </c>
      <c r="B7660"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7660">
        <v>1087500</v>
      </c>
      <c r="D7660">
        <v>618</v>
      </c>
    </row>
    <row r="7661" spans="1:4" x14ac:dyDescent="0.25">
      <c r="A7661" t="str">
        <f>T("   330499")</f>
        <v xml:space="preserve">   330499</v>
      </c>
      <c r="B7661" t="s">
        <v>97</v>
      </c>
      <c r="C7661">
        <v>57665328</v>
      </c>
      <c r="D7661">
        <v>252361</v>
      </c>
    </row>
    <row r="7662" spans="1:4" x14ac:dyDescent="0.25">
      <c r="A7662" t="str">
        <f>T("   330610")</f>
        <v xml:space="preserve">   330610</v>
      </c>
      <c r="B7662" t="str">
        <f>T("   Dentifrices, préparés, même des types utilisés par les dentistes")</f>
        <v xml:space="preserve">   Dentifrices, préparés, même des types utilisés par les dentistes</v>
      </c>
      <c r="C7662">
        <v>27500</v>
      </c>
      <c r="D7662">
        <v>55</v>
      </c>
    </row>
    <row r="7663" spans="1:4" x14ac:dyDescent="0.25">
      <c r="A7663" t="str">
        <f>T("   330720")</f>
        <v xml:space="preserve">   330720</v>
      </c>
      <c r="B7663" t="str">
        <f>T("   Désodorisants corporels et antisudoraux, préparés")</f>
        <v xml:space="preserve">   Désodorisants corporels et antisudoraux, préparés</v>
      </c>
      <c r="C7663">
        <v>608200</v>
      </c>
      <c r="D7663">
        <v>646</v>
      </c>
    </row>
    <row r="7664" spans="1:4" x14ac:dyDescent="0.25">
      <c r="A7664" t="str">
        <f>T("   330730")</f>
        <v xml:space="preserve">   330730</v>
      </c>
      <c r="B7664" t="str">
        <f>T("   Sels parfumés et autres préparations pour bains")</f>
        <v xml:space="preserve">   Sels parfumés et autres préparations pour bains</v>
      </c>
      <c r="C7664">
        <v>67500</v>
      </c>
      <c r="D7664">
        <v>45</v>
      </c>
    </row>
    <row r="7665" spans="1:4" x14ac:dyDescent="0.25">
      <c r="A7665" t="str">
        <f>T("   330749")</f>
        <v xml:space="preserve">   330749</v>
      </c>
      <c r="B7665"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7665">
        <v>561000</v>
      </c>
      <c r="D7665">
        <v>935</v>
      </c>
    </row>
    <row r="7666" spans="1:4" x14ac:dyDescent="0.25">
      <c r="A7666" t="str">
        <f>T("   330790")</f>
        <v xml:space="preserve">   330790</v>
      </c>
      <c r="B7666" t="str">
        <f>T("   Dépilatoires, autres produits de parfumerie ou de toilette préparés et autres préparations cosmétiques, n.d.a.")</f>
        <v xml:space="preserve">   Dépilatoires, autres produits de parfumerie ou de toilette préparés et autres préparations cosmétiques, n.d.a.</v>
      </c>
      <c r="C7666">
        <v>58400</v>
      </c>
      <c r="D7666">
        <v>73</v>
      </c>
    </row>
    <row r="7667" spans="1:4" x14ac:dyDescent="0.25">
      <c r="A7667" t="str">
        <f>T("   340111")</f>
        <v xml:space="preserve">   340111</v>
      </c>
      <c r="B7667" t="s">
        <v>98</v>
      </c>
      <c r="C7667">
        <v>45941168</v>
      </c>
      <c r="D7667">
        <v>57930</v>
      </c>
    </row>
    <row r="7668" spans="1:4" x14ac:dyDescent="0.25">
      <c r="A7668" t="str">
        <f>T("   340119")</f>
        <v xml:space="preserve">   340119</v>
      </c>
      <c r="B7668" t="s">
        <v>99</v>
      </c>
      <c r="C7668">
        <v>30113512</v>
      </c>
      <c r="D7668">
        <v>64209</v>
      </c>
    </row>
    <row r="7669" spans="1:4" x14ac:dyDescent="0.25">
      <c r="A7669" t="str">
        <f>T("   340120")</f>
        <v xml:space="preserve">   340120</v>
      </c>
      <c r="B7669" t="str">
        <f>T("   Savons en flocons, en paillettes, en granulés ou en poudres et savons liquides ou pâteux")</f>
        <v xml:space="preserve">   Savons en flocons, en paillettes, en granulés ou en poudres et savons liquides ou pâteux</v>
      </c>
      <c r="C7669">
        <v>250000</v>
      </c>
      <c r="D7669">
        <v>640</v>
      </c>
    </row>
    <row r="7670" spans="1:4" x14ac:dyDescent="0.25">
      <c r="A7670" t="str">
        <f>T("   340220")</f>
        <v xml:space="preserve">   340220</v>
      </c>
      <c r="B7670" t="s">
        <v>100</v>
      </c>
      <c r="C7670">
        <v>13608981</v>
      </c>
      <c r="D7670">
        <v>51090</v>
      </c>
    </row>
    <row r="7671" spans="1:4" x14ac:dyDescent="0.25">
      <c r="A7671" t="str">
        <f>T("   340290")</f>
        <v xml:space="preserve">   340290</v>
      </c>
      <c r="B7671" t="s">
        <v>101</v>
      </c>
      <c r="C7671">
        <v>30000</v>
      </c>
      <c r="D7671">
        <v>120</v>
      </c>
    </row>
    <row r="7672" spans="1:4" x14ac:dyDescent="0.25">
      <c r="A7672" t="str">
        <f>T("   340540")</f>
        <v xml:space="preserve">   340540</v>
      </c>
      <c r="B7672"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7672">
        <v>19750</v>
      </c>
      <c r="D7672">
        <v>50</v>
      </c>
    </row>
    <row r="7673" spans="1:4" x14ac:dyDescent="0.25">
      <c r="A7673" t="str">
        <f>T("   340600")</f>
        <v xml:space="preserve">   340600</v>
      </c>
      <c r="B7673" t="str">
        <f>T("   Bougies, chandelles, cierges et articles simil.")</f>
        <v xml:space="preserve">   Bougies, chandelles, cierges et articles simil.</v>
      </c>
      <c r="C7673">
        <v>2985000</v>
      </c>
      <c r="D7673">
        <v>10085</v>
      </c>
    </row>
    <row r="7674" spans="1:4" x14ac:dyDescent="0.25">
      <c r="A7674" t="str">
        <f>T("   350610")</f>
        <v xml:space="preserve">   350610</v>
      </c>
      <c r="B7674"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7674">
        <v>12910110</v>
      </c>
      <c r="D7674">
        <v>20084</v>
      </c>
    </row>
    <row r="7675" spans="1:4" x14ac:dyDescent="0.25">
      <c r="A7675" t="str">
        <f>T("   350699")</f>
        <v xml:space="preserve">   350699</v>
      </c>
      <c r="B7675" t="str">
        <f>T("   Colles et autres adhésifs préparés, n.d.a.")</f>
        <v xml:space="preserve">   Colles et autres adhésifs préparés, n.d.a.</v>
      </c>
      <c r="C7675">
        <v>585700</v>
      </c>
      <c r="D7675">
        <v>750</v>
      </c>
    </row>
    <row r="7676" spans="1:4" x14ac:dyDescent="0.25">
      <c r="A7676" t="str">
        <f>T("   370295")</f>
        <v xml:space="preserve">   370295</v>
      </c>
      <c r="B7676" t="s">
        <v>114</v>
      </c>
      <c r="C7676">
        <v>150000</v>
      </c>
      <c r="D7676">
        <v>30</v>
      </c>
    </row>
    <row r="7677" spans="1:4" x14ac:dyDescent="0.25">
      <c r="A7677" t="str">
        <f>T("   370390")</f>
        <v xml:space="preserve">   370390</v>
      </c>
      <c r="B7677"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7677">
        <v>368500</v>
      </c>
      <c r="D7677">
        <v>1333</v>
      </c>
    </row>
    <row r="7678" spans="1:4" x14ac:dyDescent="0.25">
      <c r="A7678" t="str">
        <f>T("   370400")</f>
        <v xml:space="preserve">   370400</v>
      </c>
      <c r="B7678" t="str">
        <f>T("   PLAQUES, PELLICULES, FILMS, PAPIERS, CARTONS ET TEXTILES, PHOTOGRAPHIQUES, IMPRESSIONNÉS MAIS NON-DÉVELOPPÉS")</f>
        <v xml:space="preserve">   PLAQUES, PELLICULES, FILMS, PAPIERS, CARTONS ET TEXTILES, PHOTOGRAPHIQUES, IMPRESSIONNÉS MAIS NON-DÉVELOPPÉS</v>
      </c>
      <c r="C7678">
        <v>54000</v>
      </c>
      <c r="D7678">
        <v>175</v>
      </c>
    </row>
    <row r="7679" spans="1:4" x14ac:dyDescent="0.25">
      <c r="A7679" t="str">
        <f>T("   370790")</f>
        <v xml:space="preserve">   370790</v>
      </c>
      <c r="B7679" t="s">
        <v>115</v>
      </c>
      <c r="C7679">
        <v>5000</v>
      </c>
      <c r="D7679">
        <v>200</v>
      </c>
    </row>
    <row r="7680" spans="1:4" x14ac:dyDescent="0.25">
      <c r="A7680" t="str">
        <f>T("   380810")</f>
        <v xml:space="preserve">   380810</v>
      </c>
      <c r="B7680"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7680">
        <v>27560015</v>
      </c>
      <c r="D7680">
        <v>206374</v>
      </c>
    </row>
    <row r="7681" spans="1:4" x14ac:dyDescent="0.25">
      <c r="A7681" t="str">
        <f>T("   381400")</f>
        <v xml:space="preserve">   381400</v>
      </c>
      <c r="B7681"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7681">
        <v>5229617</v>
      </c>
      <c r="D7681">
        <v>7694</v>
      </c>
    </row>
    <row r="7682" spans="1:4" x14ac:dyDescent="0.25">
      <c r="A7682" t="str">
        <f>T("   381900")</f>
        <v xml:space="preserve">   381900</v>
      </c>
      <c r="B7682"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7682">
        <v>1144208</v>
      </c>
      <c r="D7682">
        <v>1094</v>
      </c>
    </row>
    <row r="7683" spans="1:4" x14ac:dyDescent="0.25">
      <c r="A7683" t="str">
        <f>T("   390120")</f>
        <v xml:space="preserve">   390120</v>
      </c>
      <c r="B7683" t="str">
        <f>T("   Polyéthylène d'une densité &gt;= 0,94, sous formes primaires")</f>
        <v xml:space="preserve">   Polyéthylène d'une densité &gt;= 0,94, sous formes primaires</v>
      </c>
      <c r="C7683">
        <v>84464347</v>
      </c>
      <c r="D7683">
        <v>120624</v>
      </c>
    </row>
    <row r="7684" spans="1:4" x14ac:dyDescent="0.25">
      <c r="A7684" t="str">
        <f>T("   390210")</f>
        <v xml:space="preserve">   390210</v>
      </c>
      <c r="B7684" t="str">
        <f>T("   Polypropylène, sous formes primaires")</f>
        <v xml:space="preserve">   Polypropylène, sous formes primaires</v>
      </c>
      <c r="C7684">
        <v>20940000</v>
      </c>
      <c r="D7684">
        <v>252583</v>
      </c>
    </row>
    <row r="7685" spans="1:4" x14ac:dyDescent="0.25">
      <c r="A7685" t="str">
        <f>T("   390760")</f>
        <v xml:space="preserve">   390760</v>
      </c>
      <c r="B7685" t="str">
        <f>T("   Poly[éthylène téréphtalate], sous formes primaires")</f>
        <v xml:space="preserve">   Poly[éthylène téréphtalate], sous formes primaires</v>
      </c>
      <c r="C7685">
        <v>4411040</v>
      </c>
      <c r="D7685">
        <v>55138</v>
      </c>
    </row>
    <row r="7686" spans="1:4" x14ac:dyDescent="0.25">
      <c r="A7686" t="str">
        <f>T("   390799")</f>
        <v xml:space="preserve">   390799</v>
      </c>
      <c r="B7686"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7686">
        <v>20000</v>
      </c>
      <c r="D7686">
        <v>100</v>
      </c>
    </row>
    <row r="7687" spans="1:4" x14ac:dyDescent="0.25">
      <c r="A7687" t="str">
        <f>T("   391721")</f>
        <v xml:space="preserve">   391721</v>
      </c>
      <c r="B7687" t="str">
        <f>T("   TUBES ET TUYAUX RIGIDES, EN POLYMÈRES DE L'ÉTHYLÈNE")</f>
        <v xml:space="preserve">   TUBES ET TUYAUX RIGIDES, EN POLYMÈRES DE L'ÉTHYLÈNE</v>
      </c>
      <c r="C7687">
        <v>112000</v>
      </c>
      <c r="D7687">
        <v>300</v>
      </c>
    </row>
    <row r="7688" spans="1:4" x14ac:dyDescent="0.25">
      <c r="A7688" t="str">
        <f>T("   391723")</f>
        <v xml:space="preserve">   391723</v>
      </c>
      <c r="B7688" t="str">
        <f>T("   TUBES ET TUYAUX RIGIDES, EN POLYMÈRES DU CHLORURE DE VINYLE")</f>
        <v xml:space="preserve">   TUBES ET TUYAUX RIGIDES, EN POLYMÈRES DU CHLORURE DE VINYLE</v>
      </c>
      <c r="C7688">
        <v>1420250</v>
      </c>
      <c r="D7688">
        <v>5020</v>
      </c>
    </row>
    <row r="7689" spans="1:4" x14ac:dyDescent="0.25">
      <c r="A7689" t="str">
        <f>T("   391729")</f>
        <v xml:space="preserve">   391729</v>
      </c>
      <c r="B7689"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7689">
        <v>290500</v>
      </c>
      <c r="D7689">
        <v>450</v>
      </c>
    </row>
    <row r="7690" spans="1:4" x14ac:dyDescent="0.25">
      <c r="A7690" t="str">
        <f>T("   391739")</f>
        <v xml:space="preserve">   391739</v>
      </c>
      <c r="B7690"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7690">
        <v>96900</v>
      </c>
      <c r="D7690">
        <v>204</v>
      </c>
    </row>
    <row r="7691" spans="1:4" x14ac:dyDescent="0.25">
      <c r="A7691" t="str">
        <f>T("   391890")</f>
        <v xml:space="preserve">   391890</v>
      </c>
      <c r="B7691" t="s">
        <v>126</v>
      </c>
      <c r="C7691">
        <v>38250</v>
      </c>
      <c r="D7691">
        <v>150</v>
      </c>
    </row>
    <row r="7692" spans="1:4" x14ac:dyDescent="0.25">
      <c r="A7692" t="str">
        <f>T("   392190")</f>
        <v xml:space="preserve">   392190</v>
      </c>
      <c r="B7692" t="s">
        <v>141</v>
      </c>
      <c r="C7692">
        <v>37241969</v>
      </c>
      <c r="D7692">
        <v>54695</v>
      </c>
    </row>
    <row r="7693" spans="1:4" x14ac:dyDescent="0.25">
      <c r="A7693" t="str">
        <f>T("   392290")</f>
        <v xml:space="preserve">   392290</v>
      </c>
      <c r="B7693"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7693">
        <v>100000</v>
      </c>
      <c r="D7693">
        <v>90</v>
      </c>
    </row>
    <row r="7694" spans="1:4" x14ac:dyDescent="0.25">
      <c r="A7694" t="str">
        <f>T("   392310")</f>
        <v xml:space="preserve">   392310</v>
      </c>
      <c r="B7694" t="str">
        <f>T("   Boîtes, caisses, casiers et articles simil. pour le transport ou l'emballage, en matières plastiques")</f>
        <v xml:space="preserve">   Boîtes, caisses, casiers et articles simil. pour le transport ou l'emballage, en matières plastiques</v>
      </c>
      <c r="C7694">
        <v>3188960</v>
      </c>
      <c r="D7694">
        <v>7534</v>
      </c>
    </row>
    <row r="7695" spans="1:4" x14ac:dyDescent="0.25">
      <c r="A7695" t="str">
        <f>T("   392321")</f>
        <v xml:space="preserve">   392321</v>
      </c>
      <c r="B7695" t="str">
        <f>T("   Sacs, sachets, pochettes et cornets, en polymères de l'éthylène")</f>
        <v xml:space="preserve">   Sacs, sachets, pochettes et cornets, en polymères de l'éthylène</v>
      </c>
      <c r="C7695">
        <v>12250</v>
      </c>
      <c r="D7695">
        <v>35</v>
      </c>
    </row>
    <row r="7696" spans="1:4" x14ac:dyDescent="0.25">
      <c r="A7696" t="str">
        <f>T("   392329")</f>
        <v xml:space="preserve">   392329</v>
      </c>
      <c r="B7696" t="str">
        <f>T("   Sacs, sachets, pochettes et cornets, en matières plastiques (autres que les polymères de l'éthylène)")</f>
        <v xml:space="preserve">   Sacs, sachets, pochettes et cornets, en matières plastiques (autres que les polymères de l'éthylène)</v>
      </c>
      <c r="C7696">
        <v>48783260</v>
      </c>
      <c r="D7696">
        <v>147952</v>
      </c>
    </row>
    <row r="7697" spans="1:4" x14ac:dyDescent="0.25">
      <c r="A7697" t="str">
        <f>T("   392330")</f>
        <v xml:space="preserve">   392330</v>
      </c>
      <c r="B7697" t="str">
        <f>T("   Bonbonnes, bouteilles, flacons et articles simil. pour le transport ou l'emballage, en matières plastiques")</f>
        <v xml:space="preserve">   Bonbonnes, bouteilles, flacons et articles simil. pour le transport ou l'emballage, en matières plastiques</v>
      </c>
      <c r="C7697">
        <v>3198050</v>
      </c>
      <c r="D7697">
        <v>14222</v>
      </c>
    </row>
    <row r="7698" spans="1:4" x14ac:dyDescent="0.25">
      <c r="A7698" t="str">
        <f>T("   392350")</f>
        <v xml:space="preserve">   392350</v>
      </c>
      <c r="B7698" t="str">
        <f>T("   Bouchons, couvercles, capsules et autres dispositifs de fermeture, en matières plastiques")</f>
        <v xml:space="preserve">   Bouchons, couvercles, capsules et autres dispositifs de fermeture, en matières plastiques</v>
      </c>
      <c r="C7698">
        <v>82500</v>
      </c>
      <c r="D7698">
        <v>110</v>
      </c>
    </row>
    <row r="7699" spans="1:4" x14ac:dyDescent="0.25">
      <c r="A7699" t="str">
        <f>T("   392390")</f>
        <v xml:space="preserve">   392390</v>
      </c>
      <c r="B7699" t="s">
        <v>142</v>
      </c>
      <c r="C7699">
        <v>576830</v>
      </c>
      <c r="D7699">
        <v>7420</v>
      </c>
    </row>
    <row r="7700" spans="1:4" x14ac:dyDescent="0.25">
      <c r="A7700" t="str">
        <f>T("   392490")</f>
        <v xml:space="preserve">   392490</v>
      </c>
      <c r="B7700" t="s">
        <v>143</v>
      </c>
      <c r="C7700">
        <v>6854300</v>
      </c>
      <c r="D7700">
        <v>10398</v>
      </c>
    </row>
    <row r="7701" spans="1:4" x14ac:dyDescent="0.25">
      <c r="A7701" t="str">
        <f>T("   392510")</f>
        <v xml:space="preserve">   392510</v>
      </c>
      <c r="B7701" t="str">
        <f>T("   Réservoirs, foudres, cuves et récipients analogues, en matières plastiques, d'une contenance &gt; 300 l")</f>
        <v xml:space="preserve">   Réservoirs, foudres, cuves et récipients analogues, en matières plastiques, d'une contenance &gt; 300 l</v>
      </c>
      <c r="C7701">
        <v>20897200</v>
      </c>
      <c r="D7701">
        <v>64905</v>
      </c>
    </row>
    <row r="7702" spans="1:4" x14ac:dyDescent="0.25">
      <c r="A7702" t="str">
        <f>T("   392590")</f>
        <v xml:space="preserve">   392590</v>
      </c>
      <c r="B7702" t="s">
        <v>144</v>
      </c>
      <c r="C7702">
        <v>854297</v>
      </c>
      <c r="D7702">
        <v>907</v>
      </c>
    </row>
    <row r="7703" spans="1:4" x14ac:dyDescent="0.25">
      <c r="A7703" t="str">
        <f>T("   392610")</f>
        <v xml:space="preserve">   392610</v>
      </c>
      <c r="B7703" t="str">
        <f>T("   Articles de bureau et articles scolaires, en matières plastiques, n.d.a.")</f>
        <v xml:space="preserve">   Articles de bureau et articles scolaires, en matières plastiques, n.d.a.</v>
      </c>
      <c r="C7703">
        <v>650712</v>
      </c>
      <c r="D7703">
        <v>380</v>
      </c>
    </row>
    <row r="7704" spans="1:4" x14ac:dyDescent="0.25">
      <c r="A7704" t="str">
        <f>T("   392620")</f>
        <v xml:space="preserve">   392620</v>
      </c>
      <c r="B7704"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7704">
        <v>447750</v>
      </c>
      <c r="D7704">
        <v>365</v>
      </c>
    </row>
    <row r="7705" spans="1:4" x14ac:dyDescent="0.25">
      <c r="A7705" t="str">
        <f>T("   392630")</f>
        <v xml:space="preserve">   392630</v>
      </c>
      <c r="B7705" t="str">
        <f>T("   Garnitures pour meubles, carrosseries ou simil., en matières plastiques (à l'excl. des articles d'équipement pour la construction destinés à être fixés à demeure sur des parties de bâtiments)")</f>
        <v xml:space="preserve">   Garnitures pour meubles, carrosseries ou simil., en matières plastiques (à l'excl. des articles d'équipement pour la construction destinés à être fixés à demeure sur des parties de bâtiments)</v>
      </c>
      <c r="C7705">
        <v>30000</v>
      </c>
      <c r="D7705">
        <v>50</v>
      </c>
    </row>
    <row r="7706" spans="1:4" x14ac:dyDescent="0.25">
      <c r="A7706" t="str">
        <f>T("   392640")</f>
        <v xml:space="preserve">   392640</v>
      </c>
      <c r="B7706" t="str">
        <f>T("   Statuettes et autres objets d'ornementation, en matières plastiques")</f>
        <v xml:space="preserve">   Statuettes et autres objets d'ornementation, en matières plastiques</v>
      </c>
      <c r="C7706">
        <v>377100</v>
      </c>
      <c r="D7706">
        <v>1257</v>
      </c>
    </row>
    <row r="7707" spans="1:4" x14ac:dyDescent="0.25">
      <c r="A7707" t="str">
        <f>T("   392690")</f>
        <v xml:space="preserve">   392690</v>
      </c>
      <c r="B7707" t="str">
        <f>T("   Ouvrages en matières plastiques et ouvrages en autres matières du n° 3901 à 3914, n.d.a.")</f>
        <v xml:space="preserve">   Ouvrages en matières plastiques et ouvrages en autres matières du n° 3901 à 3914, n.d.a.</v>
      </c>
      <c r="C7707">
        <v>85692880</v>
      </c>
      <c r="D7707">
        <v>307937</v>
      </c>
    </row>
    <row r="7708" spans="1:4" x14ac:dyDescent="0.25">
      <c r="A7708" t="str">
        <f>T("   400821")</f>
        <v xml:space="preserve">   400821</v>
      </c>
      <c r="B7708" t="str">
        <f>T("   PLAQUES, FEUILLES ET BANDES, EN CAOUTCHOUC NON-ALVÉOLAIRE NON-DURCI")</f>
        <v xml:space="preserve">   PLAQUES, FEUILLES ET BANDES, EN CAOUTCHOUC NON-ALVÉOLAIRE NON-DURCI</v>
      </c>
      <c r="C7708">
        <v>55250</v>
      </c>
      <c r="D7708">
        <v>130</v>
      </c>
    </row>
    <row r="7709" spans="1:4" x14ac:dyDescent="0.25">
      <c r="A7709" t="str">
        <f>T("   401110")</f>
        <v xml:space="preserve">   401110</v>
      </c>
      <c r="B7709"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7709">
        <v>7354000</v>
      </c>
      <c r="D7709">
        <v>18650</v>
      </c>
    </row>
    <row r="7710" spans="1:4" x14ac:dyDescent="0.25">
      <c r="A7710" t="str">
        <f>T("   401120")</f>
        <v xml:space="preserve">   401120</v>
      </c>
      <c r="B7710"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7710">
        <v>36809125</v>
      </c>
      <c r="D7710">
        <v>53435</v>
      </c>
    </row>
    <row r="7711" spans="1:4" x14ac:dyDescent="0.25">
      <c r="A7711" t="str">
        <f>T("   401140")</f>
        <v xml:space="preserve">   401140</v>
      </c>
      <c r="B7711" t="str">
        <f>T("   Pneumatiques neufs, en caoutchouc, des types utilisés pour les motocycles")</f>
        <v xml:space="preserve">   Pneumatiques neufs, en caoutchouc, des types utilisés pour les motocycles</v>
      </c>
      <c r="C7711">
        <v>24388482</v>
      </c>
      <c r="D7711">
        <v>25855</v>
      </c>
    </row>
    <row r="7712" spans="1:4" x14ac:dyDescent="0.25">
      <c r="A7712" t="str">
        <f>T("   401150")</f>
        <v xml:space="preserve">   401150</v>
      </c>
      <c r="B7712" t="str">
        <f>T("   Pneumatiques neufs, en caoutchouc, des types utilisés pour les bicyclettes")</f>
        <v xml:space="preserve">   Pneumatiques neufs, en caoutchouc, des types utilisés pour les bicyclettes</v>
      </c>
      <c r="C7712">
        <v>120000</v>
      </c>
      <c r="D7712">
        <v>675</v>
      </c>
    </row>
    <row r="7713" spans="1:4" x14ac:dyDescent="0.25">
      <c r="A7713" t="str">
        <f>T("   401162")</f>
        <v xml:space="preserve">   401162</v>
      </c>
      <c r="B7713" t="str">
        <f>T("   Pneumatiques neufs, en caoutchouc, à crampons, à chevrons ou simil., des types utilisés pour les véhicules et engins de génie civil et de manutention industrielle, pour jantes d'un diamètre &lt;= 61 cm")</f>
        <v xml:space="preserve">   Pneumatiques neufs, en caoutchouc, à crampons, à chevrons ou simil., des types utilisés pour les véhicules et engins de génie civil et de manutention industrielle, pour jantes d'un diamètre &lt;= 61 cm</v>
      </c>
      <c r="C7713">
        <v>9500000</v>
      </c>
      <c r="D7713">
        <v>15352</v>
      </c>
    </row>
    <row r="7714" spans="1:4" x14ac:dyDescent="0.25">
      <c r="A7714" t="str">
        <f>T("   401191")</f>
        <v xml:space="preserve">   401191</v>
      </c>
      <c r="B7714" t="str">
        <f>T("   PNEUMATIQUES NEUFS, EN CAOUTCHOUC, A CRAMPONS, A CHEVRONS OU SIMILAIRES, DES TYPES UTILISÉS POUR LES TRACTEURS AGRICOLES OU FORESTIERS OU POUR LES VÉHICULES ET ENGINS DE GENIE CIVIL")</f>
        <v xml:space="preserve">   PNEUMATIQUES NEUFS, EN CAOUTCHOUC, A CRAMPONS, A CHEVRONS OU SIMILAIRES, DES TYPES UTILISÉS POUR LES TRACTEURS AGRICOLES OU FORESTIERS OU POUR LES VÉHICULES ET ENGINS DE GENIE CIVIL</v>
      </c>
      <c r="C7714">
        <v>2166000</v>
      </c>
      <c r="D7714">
        <v>2900</v>
      </c>
    </row>
    <row r="7715" spans="1:4" x14ac:dyDescent="0.25">
      <c r="A7715" t="str">
        <f>T("   401199")</f>
        <v xml:space="preserve">   401199</v>
      </c>
      <c r="B7715" t="s">
        <v>152</v>
      </c>
      <c r="C7715">
        <v>78900</v>
      </c>
      <c r="D7715">
        <v>300</v>
      </c>
    </row>
    <row r="7716" spans="1:4" x14ac:dyDescent="0.25">
      <c r="A7716" t="str">
        <f>T("   401211")</f>
        <v xml:space="preserve">   401211</v>
      </c>
      <c r="B7716"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7716">
        <v>7380000</v>
      </c>
      <c r="D7716">
        <v>22100</v>
      </c>
    </row>
    <row r="7717" spans="1:4" x14ac:dyDescent="0.25">
      <c r="A7717" t="str">
        <f>T("   401220")</f>
        <v xml:space="preserve">   401220</v>
      </c>
      <c r="B7717" t="str">
        <f>T("   Pneumatiques usagés, en caoutchouc")</f>
        <v xml:space="preserve">   Pneumatiques usagés, en caoutchouc</v>
      </c>
      <c r="C7717">
        <v>10470072</v>
      </c>
      <c r="D7717">
        <v>33660</v>
      </c>
    </row>
    <row r="7718" spans="1:4" x14ac:dyDescent="0.25">
      <c r="A7718" t="str">
        <f>T("   401310")</f>
        <v xml:space="preserve">   401310</v>
      </c>
      <c r="B7718"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7718">
        <v>1080000</v>
      </c>
      <c r="D7718">
        <v>4530</v>
      </c>
    </row>
    <row r="7719" spans="1:4" x14ac:dyDescent="0.25">
      <c r="A7719" t="str">
        <f>T("   401320")</f>
        <v xml:space="preserve">   401320</v>
      </c>
      <c r="B7719" t="str">
        <f>T("   Chambres à air, en caoutchouc, des types utilisés pour les bicyclettes")</f>
        <v xml:space="preserve">   Chambres à air, en caoutchouc, des types utilisés pour les bicyclettes</v>
      </c>
      <c r="C7719">
        <v>67000</v>
      </c>
      <c r="D7719">
        <v>88</v>
      </c>
    </row>
    <row r="7720" spans="1:4" x14ac:dyDescent="0.25">
      <c r="A7720" t="str">
        <f>T("   401390")</f>
        <v xml:space="preserve">   401390</v>
      </c>
      <c r="B7720"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7720">
        <v>1082436</v>
      </c>
      <c r="D7720">
        <v>1110</v>
      </c>
    </row>
    <row r="7721" spans="1:4" x14ac:dyDescent="0.25">
      <c r="A7721" t="str">
        <f>T("   401699")</f>
        <v xml:space="preserve">   401699</v>
      </c>
      <c r="B7721" t="str">
        <f>T("   OUVRAGES EN CAOUTCHOUC VULCANISÉ NON-DURCI, N.D.A.")</f>
        <v xml:space="preserve">   OUVRAGES EN CAOUTCHOUC VULCANISÉ NON-DURCI, N.D.A.</v>
      </c>
      <c r="C7721">
        <v>3000</v>
      </c>
      <c r="D7721">
        <v>10</v>
      </c>
    </row>
    <row r="7722" spans="1:4" x14ac:dyDescent="0.25">
      <c r="A7722" t="str">
        <f>T("   420222")</f>
        <v xml:space="preserve">   420222</v>
      </c>
      <c r="B7722"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7722">
        <v>1600000</v>
      </c>
      <c r="D7722">
        <v>600</v>
      </c>
    </row>
    <row r="7723" spans="1:4" x14ac:dyDescent="0.25">
      <c r="A7723" t="str">
        <f>T("   420239")</f>
        <v xml:space="preserve">   420239</v>
      </c>
      <c r="B7723" t="s">
        <v>158</v>
      </c>
      <c r="C7723">
        <v>245000</v>
      </c>
      <c r="D7723">
        <v>700</v>
      </c>
    </row>
    <row r="7724" spans="1:4" x14ac:dyDescent="0.25">
      <c r="A7724" t="str">
        <f>T("   420292")</f>
        <v xml:space="preserve">   420292</v>
      </c>
      <c r="B7724" t="s">
        <v>159</v>
      </c>
      <c r="C7724">
        <v>72000</v>
      </c>
      <c r="D7724">
        <v>120</v>
      </c>
    </row>
    <row r="7725" spans="1:4" x14ac:dyDescent="0.25">
      <c r="A7725" t="str">
        <f>T("   440729")</f>
        <v xml:space="preserve">   440729</v>
      </c>
      <c r="B7725" t="s">
        <v>165</v>
      </c>
      <c r="C7725">
        <v>29484000</v>
      </c>
      <c r="D7725">
        <v>1035088</v>
      </c>
    </row>
    <row r="7726" spans="1:4" x14ac:dyDescent="0.25">
      <c r="A7726" t="str">
        <f>T("   441219")</f>
        <v xml:space="preserve">   441219</v>
      </c>
      <c r="B7726" t="s">
        <v>178</v>
      </c>
      <c r="C7726">
        <v>650000</v>
      </c>
      <c r="D7726">
        <v>600</v>
      </c>
    </row>
    <row r="7727" spans="1:4" x14ac:dyDescent="0.25">
      <c r="A7727" t="str">
        <f>T("   441229")</f>
        <v xml:space="preserve">   441229</v>
      </c>
      <c r="B7727" t="s">
        <v>179</v>
      </c>
      <c r="C7727">
        <v>370000</v>
      </c>
      <c r="D7727">
        <v>500</v>
      </c>
    </row>
    <row r="7728" spans="1:4" x14ac:dyDescent="0.25">
      <c r="A7728" t="str">
        <f>T("   441820")</f>
        <v xml:space="preserve">   441820</v>
      </c>
      <c r="B7728" t="str">
        <f>T("   Portes et leurs cadres, chambranles et seuils, en bois")</f>
        <v xml:space="preserve">   Portes et leurs cadres, chambranles et seuils, en bois</v>
      </c>
      <c r="C7728">
        <v>450000</v>
      </c>
      <c r="D7728">
        <v>400</v>
      </c>
    </row>
    <row r="7729" spans="1:4" x14ac:dyDescent="0.25">
      <c r="A7729" t="str">
        <f>T("   441900")</f>
        <v xml:space="preserve">   441900</v>
      </c>
      <c r="B7729" t="s">
        <v>183</v>
      </c>
      <c r="C7729">
        <v>149600</v>
      </c>
      <c r="D7729">
        <v>245</v>
      </c>
    </row>
    <row r="7730" spans="1:4" x14ac:dyDescent="0.25">
      <c r="A7730" t="str">
        <f>T("   442010")</f>
        <v xml:space="preserve">   442010</v>
      </c>
      <c r="B7730" t="str">
        <f>T("   Statuettes et autres objets d'ornement, en bois (autres que marquetés ou incrustés)")</f>
        <v xml:space="preserve">   Statuettes et autres objets d'ornement, en bois (autres que marquetés ou incrustés)</v>
      </c>
      <c r="C7730">
        <v>23400</v>
      </c>
      <c r="D7730">
        <v>15</v>
      </c>
    </row>
    <row r="7731" spans="1:4" x14ac:dyDescent="0.25">
      <c r="A7731" t="str">
        <f>T("   442190")</f>
        <v xml:space="preserve">   442190</v>
      </c>
      <c r="B7731" t="str">
        <f>T("   Ouvrages, en bois, n.d.a.")</f>
        <v xml:space="preserve">   Ouvrages, en bois, n.d.a.</v>
      </c>
      <c r="C7731">
        <v>23625</v>
      </c>
      <c r="D7731">
        <v>1500</v>
      </c>
    </row>
    <row r="7732" spans="1:4" x14ac:dyDescent="0.25">
      <c r="A7732" t="str">
        <f>T("   480100")</f>
        <v xml:space="preserve">   480100</v>
      </c>
      <c r="B7732"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7732">
        <v>16541750</v>
      </c>
      <c r="D7732">
        <v>12340</v>
      </c>
    </row>
    <row r="7733" spans="1:4" x14ac:dyDescent="0.25">
      <c r="A7733" t="str">
        <f>T("   480210")</f>
        <v xml:space="preserve">   480210</v>
      </c>
      <c r="B7733" t="str">
        <f>T("   Papiers et cartons formés feuille à feuille [papiers à la main], de tout format et de toute forme")</f>
        <v xml:space="preserve">   Papiers et cartons formés feuille à feuille [papiers à la main], de tout format et de toute forme</v>
      </c>
      <c r="C7733">
        <v>7843428</v>
      </c>
      <c r="D7733">
        <v>12270</v>
      </c>
    </row>
    <row r="7734" spans="1:4" x14ac:dyDescent="0.25">
      <c r="A7734" t="str">
        <f>T("   480700")</f>
        <v xml:space="preserve">   480700</v>
      </c>
      <c r="B7734" t="s">
        <v>199</v>
      </c>
      <c r="C7734">
        <v>32609900</v>
      </c>
      <c r="D7734">
        <v>65645</v>
      </c>
    </row>
    <row r="7735" spans="1:4" x14ac:dyDescent="0.25">
      <c r="A7735" t="str">
        <f>T("   481019")</f>
        <v xml:space="preserve">   481019</v>
      </c>
      <c r="B7735" t="s">
        <v>203</v>
      </c>
      <c r="C7735">
        <v>2000000</v>
      </c>
      <c r="D7735">
        <v>17600</v>
      </c>
    </row>
    <row r="7736" spans="1:4" x14ac:dyDescent="0.25">
      <c r="A7736" t="str">
        <f>T("   481129")</f>
        <v xml:space="preserve">   481129</v>
      </c>
      <c r="B7736" t="str">
        <f>T("   PAPIERS ET CARTONS GOMMES OU ADHÉSIFS, EN ROULEAUX OU EN FEUILLES DES TYPES DEFINIS DANS LES NOTES 7A) OU 7B) DU PRESENT CHAPITRE (À L'EXCL. DES PAPIERS ET CARTONS AUTO-ADHÉSIFS AINSI QUE DES PRODUITS DU N° 4810)")</f>
        <v xml:space="preserve">   PAPIERS ET CARTONS GOMMES OU ADHÉSIFS, EN ROULEAUX OU EN FEUILLES DES TYPES DEFINIS DANS LES NOTES 7A) OU 7B) DU PRESENT CHAPITRE (À L'EXCL. DES PAPIERS ET CARTONS AUTO-ADHÉSIFS AINSI QUE DES PRODUITS DU N° 4810)</v>
      </c>
      <c r="C7736">
        <v>1314000</v>
      </c>
      <c r="D7736">
        <v>2190</v>
      </c>
    </row>
    <row r="7737" spans="1:4" x14ac:dyDescent="0.25">
      <c r="A7737" t="str">
        <f>T("   481190")</f>
        <v xml:space="preserve">   481190</v>
      </c>
      <c r="B7737" t="s">
        <v>210</v>
      </c>
      <c r="C7737">
        <v>5264079</v>
      </c>
      <c r="D7737">
        <v>1173</v>
      </c>
    </row>
    <row r="7738" spans="1:4" x14ac:dyDescent="0.25">
      <c r="A7738" t="str">
        <f>T("   481730")</f>
        <v xml:space="preserve">   481730</v>
      </c>
      <c r="B7738" t="str">
        <f>T("   Boîtes, pochettes et présentations simil., en papier ou en carton, renfermant un assortiment d'articles de correspondance")</f>
        <v xml:space="preserve">   Boîtes, pochettes et présentations simil., en papier ou en carton, renfermant un assortiment d'articles de correspondance</v>
      </c>
      <c r="C7738">
        <v>30000</v>
      </c>
      <c r="D7738">
        <v>49</v>
      </c>
    </row>
    <row r="7739" spans="1:4" x14ac:dyDescent="0.25">
      <c r="A7739" t="str">
        <f>T("   481820")</f>
        <v xml:space="preserve">   481820</v>
      </c>
      <c r="B7739"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7739">
        <v>3905100</v>
      </c>
      <c r="D7739">
        <v>12977</v>
      </c>
    </row>
    <row r="7740" spans="1:4" x14ac:dyDescent="0.25">
      <c r="A7740" t="str">
        <f>T("   481840")</f>
        <v xml:space="preserve">   481840</v>
      </c>
      <c r="B7740"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7740">
        <v>11981920</v>
      </c>
      <c r="D7740">
        <v>30686</v>
      </c>
    </row>
    <row r="7741" spans="1:4" x14ac:dyDescent="0.25">
      <c r="A7741" t="str">
        <f>T("   481910")</f>
        <v xml:space="preserve">   481910</v>
      </c>
      <c r="B7741" t="str">
        <f>T("   Boîtes et caisses en papier ou en carton ondulé")</f>
        <v xml:space="preserve">   Boîtes et caisses en papier ou en carton ondulé</v>
      </c>
      <c r="C7741">
        <v>34288000</v>
      </c>
      <c r="D7741">
        <v>85030</v>
      </c>
    </row>
    <row r="7742" spans="1:4" x14ac:dyDescent="0.25">
      <c r="A7742" t="str">
        <f>T("   482020")</f>
        <v xml:space="preserve">   482020</v>
      </c>
      <c r="B7742" t="str">
        <f>T("   Cahiers pour l'écriture, en papier ou carton")</f>
        <v xml:space="preserve">   Cahiers pour l'écriture, en papier ou carton</v>
      </c>
      <c r="C7742">
        <v>103200</v>
      </c>
      <c r="D7742">
        <v>400</v>
      </c>
    </row>
    <row r="7743" spans="1:4" x14ac:dyDescent="0.25">
      <c r="A7743" t="str">
        <f>T("   482050")</f>
        <v xml:space="preserve">   482050</v>
      </c>
      <c r="B7743" t="str">
        <f>T("   Albums pour échantillonnages ou pour collections, en papier ou en carton")</f>
        <v xml:space="preserve">   Albums pour échantillonnages ou pour collections, en papier ou en carton</v>
      </c>
      <c r="C7743">
        <v>54000</v>
      </c>
      <c r="D7743">
        <v>270</v>
      </c>
    </row>
    <row r="7744" spans="1:4" x14ac:dyDescent="0.25">
      <c r="A7744" t="str">
        <f>T("   482190")</f>
        <v xml:space="preserve">   482190</v>
      </c>
      <c r="B7744" t="str">
        <f>T("   ÉTIQUETTES DE TOUS GENRES, EN PAPIER OU EN CARTON, NON-IMPRIMÉES")</f>
        <v xml:space="preserve">   ÉTIQUETTES DE TOUS GENRES, EN PAPIER OU EN CARTON, NON-IMPRIMÉES</v>
      </c>
      <c r="C7744">
        <v>135600</v>
      </c>
      <c r="D7744">
        <v>2260</v>
      </c>
    </row>
    <row r="7745" spans="1:4" x14ac:dyDescent="0.25">
      <c r="A7745" t="str">
        <f>T("   482311")</f>
        <v xml:space="preserve">   482311</v>
      </c>
      <c r="B7745" t="str">
        <f>T("   PAPIER GOMME OU ADHESIF, EN BANDES OU EN ROULEAUX AUTO-ADHÉSIFS D'UNE LARGEUR =&lt; 15 CM")</f>
        <v xml:space="preserve">   PAPIER GOMME OU ADHESIF, EN BANDES OU EN ROULEAUX AUTO-ADHÉSIFS D'UNE LARGEUR =&lt; 15 CM</v>
      </c>
      <c r="C7745">
        <v>965135</v>
      </c>
      <c r="D7745">
        <v>1631</v>
      </c>
    </row>
    <row r="7746" spans="1:4" x14ac:dyDescent="0.25">
      <c r="A7746" t="str">
        <f>T("   490110")</f>
        <v xml:space="preserve">   490110</v>
      </c>
      <c r="B7746"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7746">
        <v>344379</v>
      </c>
      <c r="D7746">
        <v>250</v>
      </c>
    </row>
    <row r="7747" spans="1:4" x14ac:dyDescent="0.25">
      <c r="A7747" t="str">
        <f>T("   490191")</f>
        <v xml:space="preserve">   490191</v>
      </c>
      <c r="B7747" t="str">
        <f>T("   Dictionnaires et encyclopédies, même en fascicules")</f>
        <v xml:space="preserve">   Dictionnaires et encyclopédies, même en fascicules</v>
      </c>
      <c r="C7747">
        <v>140000</v>
      </c>
      <c r="D7747">
        <v>135</v>
      </c>
    </row>
    <row r="7748" spans="1:4" x14ac:dyDescent="0.25">
      <c r="A7748" t="str">
        <f>T("   490199")</f>
        <v xml:space="preserve">   490199</v>
      </c>
      <c r="B774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748">
        <v>11780961</v>
      </c>
      <c r="D7748">
        <v>18440</v>
      </c>
    </row>
    <row r="7749" spans="1:4" x14ac:dyDescent="0.25">
      <c r="A7749" t="str">
        <f>T("   490510")</f>
        <v xml:space="preserve">   490510</v>
      </c>
      <c r="B7749" t="str">
        <f>T("   Globes, imprimés (à l'excl. des globes en relief)")</f>
        <v xml:space="preserve">   Globes, imprimés (à l'excl. des globes en relief)</v>
      </c>
      <c r="C7749">
        <v>69120</v>
      </c>
      <c r="D7749">
        <v>100</v>
      </c>
    </row>
    <row r="7750" spans="1:4" x14ac:dyDescent="0.25">
      <c r="A7750" t="str">
        <f>T("   490599")</f>
        <v xml:space="preserve">   490599</v>
      </c>
      <c r="B7750"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7750">
        <v>30000</v>
      </c>
      <c r="D7750">
        <v>25</v>
      </c>
    </row>
    <row r="7751" spans="1:4" x14ac:dyDescent="0.25">
      <c r="A7751" t="str">
        <f>T("   490900")</f>
        <v xml:space="preserve">   490900</v>
      </c>
      <c r="B7751"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7751">
        <v>207055</v>
      </c>
      <c r="D7751">
        <v>0.5</v>
      </c>
    </row>
    <row r="7752" spans="1:4" x14ac:dyDescent="0.25">
      <c r="A7752" t="str">
        <f>T("   491000")</f>
        <v xml:space="preserve">   491000</v>
      </c>
      <c r="B7752" t="str">
        <f>T("   Calendriers de tous genres, imprimés, y.c. les blocs de calendriers à effeuiller")</f>
        <v xml:space="preserve">   Calendriers de tous genres, imprimés, y.c. les blocs de calendriers à effeuiller</v>
      </c>
      <c r="C7752">
        <v>310392</v>
      </c>
      <c r="D7752">
        <v>100</v>
      </c>
    </row>
    <row r="7753" spans="1:4" x14ac:dyDescent="0.25">
      <c r="A7753" t="str">
        <f>T("   491110")</f>
        <v xml:space="preserve">   491110</v>
      </c>
      <c r="B7753" t="str">
        <f>T("   Imprimés publicitaires, catalogues commerciaux et simil.")</f>
        <v xml:space="preserve">   Imprimés publicitaires, catalogues commerciaux et simil.</v>
      </c>
      <c r="C7753">
        <v>4798222</v>
      </c>
      <c r="D7753">
        <v>24619.57</v>
      </c>
    </row>
    <row r="7754" spans="1:4" x14ac:dyDescent="0.25">
      <c r="A7754" t="str">
        <f>T("   491199")</f>
        <v xml:space="preserve">   491199</v>
      </c>
      <c r="B7754" t="str">
        <f>T("   Imprimés, n.d.a.")</f>
        <v xml:space="preserve">   Imprimés, n.d.a.</v>
      </c>
      <c r="C7754">
        <v>104991552</v>
      </c>
      <c r="D7754">
        <v>22635</v>
      </c>
    </row>
    <row r="7755" spans="1:4" x14ac:dyDescent="0.25">
      <c r="A7755" t="str">
        <f>T("   510910")</f>
        <v xml:space="preserve">   510910</v>
      </c>
      <c r="B7755" t="str">
        <f>T("   Fils de laine ou de poils fins, contenant &gt;= 85% en poids de laine ou de poils fins, conditionnés pour la vente au détail")</f>
        <v xml:space="preserve">   Fils de laine ou de poils fins, contenant &gt;= 85% en poids de laine ou de poils fins, conditionnés pour la vente au détail</v>
      </c>
      <c r="C7755">
        <v>321663</v>
      </c>
      <c r="D7755">
        <v>193</v>
      </c>
    </row>
    <row r="7756" spans="1:4" x14ac:dyDescent="0.25">
      <c r="A7756" t="str">
        <f>T("   511230")</f>
        <v xml:space="preserve">   511230</v>
      </c>
      <c r="B7756" t="str">
        <f>T("   Tissus de laine peignée ou de poils fins peignés, contenant en prédominance, mais &lt; 85% en poids de laine ou de poils fins, mélangés principalement ou uniquement avec des fibres synthétiques ou artificielles discontinues")</f>
        <v xml:space="preserve">   Tissus de laine peignée ou de poils fins peignés, contenant en prédominance, mais &lt; 85% en poids de laine ou de poils fins, mélangés principalement ou uniquement avec des fibres synthétiques ou artificielles discontinues</v>
      </c>
      <c r="C7756">
        <v>262400</v>
      </c>
      <c r="D7756">
        <v>40</v>
      </c>
    </row>
    <row r="7757" spans="1:4" x14ac:dyDescent="0.25">
      <c r="A7757" t="str">
        <f>T("   520300")</f>
        <v xml:space="preserve">   520300</v>
      </c>
      <c r="B7757" t="str">
        <f>T("   Coton, cardé ou peigné")</f>
        <v xml:space="preserve">   Coton, cardé ou peigné</v>
      </c>
      <c r="C7757">
        <v>1447700</v>
      </c>
      <c r="D7757">
        <v>2387</v>
      </c>
    </row>
    <row r="7758" spans="1:4" x14ac:dyDescent="0.25">
      <c r="A7758" t="str">
        <f>T("   520420")</f>
        <v xml:space="preserve">   520420</v>
      </c>
      <c r="B7758" t="str">
        <f>T("   Fils à coudre de coton, conditionnés pour la vente au détail")</f>
        <v xml:space="preserve">   Fils à coudre de coton, conditionnés pour la vente au détail</v>
      </c>
      <c r="C7758">
        <v>1173910</v>
      </c>
      <c r="D7758">
        <v>858</v>
      </c>
    </row>
    <row r="7759" spans="1:4" x14ac:dyDescent="0.25">
      <c r="A7759" t="str">
        <f>T("   520710")</f>
        <v xml:space="preserve">   520710</v>
      </c>
      <c r="B7759" t="str">
        <f>T("   Fils de coton, contenant &gt;= 85% en poids de coton, conditionnés pour la vente au détail (sauf les fils à coudre)")</f>
        <v xml:space="preserve">   Fils de coton, contenant &gt;= 85% en poids de coton, conditionnés pour la vente au détail (sauf les fils à coudre)</v>
      </c>
      <c r="C7759">
        <v>925000</v>
      </c>
      <c r="D7759">
        <v>1000</v>
      </c>
    </row>
    <row r="7760" spans="1:4" x14ac:dyDescent="0.25">
      <c r="A7760" t="str">
        <f>T("   520790")</f>
        <v xml:space="preserve">   520790</v>
      </c>
      <c r="B7760" t="str">
        <f>T("   Fils de coton, contenant en prédominance, mais &lt; 85% en poids de coton, conditionnés pour la vente au détail (sauf les fils à coudre)")</f>
        <v xml:space="preserve">   Fils de coton, contenant en prédominance, mais &lt; 85% en poids de coton, conditionnés pour la vente au détail (sauf les fils à coudre)</v>
      </c>
      <c r="C7760">
        <v>421250</v>
      </c>
      <c r="D7760">
        <v>700</v>
      </c>
    </row>
    <row r="7761" spans="1:4" x14ac:dyDescent="0.25">
      <c r="A7761" t="str">
        <f>T("   520829")</f>
        <v xml:space="preserve">   520829</v>
      </c>
      <c r="B7761"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7761">
        <v>14771650</v>
      </c>
      <c r="D7761">
        <v>17945</v>
      </c>
    </row>
    <row r="7762" spans="1:4" x14ac:dyDescent="0.25">
      <c r="A7762" t="str">
        <f>T("   520839")</f>
        <v xml:space="preserve">   520839</v>
      </c>
      <c r="B7762"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7762">
        <v>16559625</v>
      </c>
      <c r="D7762">
        <v>12642</v>
      </c>
    </row>
    <row r="7763" spans="1:4" x14ac:dyDescent="0.25">
      <c r="A7763" t="str">
        <f>T("   520852")</f>
        <v xml:space="preserve">   520852</v>
      </c>
      <c r="B7763" t="str">
        <f>T("   Tissus de coton, imprimés, à armure toile, contenant &gt;= 85% en poids de coton, d'un poids &gt; 100 g/m² mais &lt;= 200 g/m²")</f>
        <v xml:space="preserve">   Tissus de coton, imprimés, à armure toile, contenant &gt;= 85% en poids de coton, d'un poids &gt; 100 g/m² mais &lt;= 200 g/m²</v>
      </c>
      <c r="C7763">
        <v>50192259</v>
      </c>
      <c r="D7763">
        <v>6800</v>
      </c>
    </row>
    <row r="7764" spans="1:4" x14ac:dyDescent="0.25">
      <c r="A7764" t="str">
        <f>T("   520929")</f>
        <v xml:space="preserve">   520929</v>
      </c>
      <c r="B7764"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7764">
        <v>90000</v>
      </c>
      <c r="D7764">
        <v>20</v>
      </c>
    </row>
    <row r="7765" spans="1:4" x14ac:dyDescent="0.25">
      <c r="A7765" t="str">
        <f>T("   520951")</f>
        <v xml:space="preserve">   520951</v>
      </c>
      <c r="B7765" t="str">
        <f>T("   Tissus de coton, imprimés, à armure toile, contenant &gt;= 85% en poids de coton, d'un poids &gt; 200 g/m²")</f>
        <v xml:space="preserve">   Tissus de coton, imprimés, à armure toile, contenant &gt;= 85% en poids de coton, d'un poids &gt; 200 g/m²</v>
      </c>
      <c r="C7765">
        <v>18045632</v>
      </c>
      <c r="D7765">
        <v>16765</v>
      </c>
    </row>
    <row r="7766" spans="1:4" x14ac:dyDescent="0.25">
      <c r="A7766" t="str">
        <f>T("   521141")</f>
        <v xml:space="preserve">   521141</v>
      </c>
      <c r="B7766" t="str">
        <f>T("   Tissus de coton, en fils de diverses couleurs, à armure toile, contenant en prédominance, mais &lt; 85% en poids de coton, mélangés principalement ou uniquement avec des fibres synthétiques ou artificielles, d'un poids &gt; 200 g/m²")</f>
        <v xml:space="preserve">   Tissus de coton, en fils de diverses couleurs, à armure toile, contenant en prédominance, mais &lt; 85% en poids de coton, mélangés principalement ou uniquement avec des fibres synthétiques ou artificielles, d'un poids &gt; 200 g/m²</v>
      </c>
      <c r="C7766">
        <v>325850</v>
      </c>
      <c r="D7766">
        <v>418</v>
      </c>
    </row>
    <row r="7767" spans="1:4" x14ac:dyDescent="0.25">
      <c r="A7767" t="str">
        <f>T("   521159")</f>
        <v xml:space="preserve">   521159</v>
      </c>
      <c r="B7767" t="s">
        <v>222</v>
      </c>
      <c r="C7767">
        <v>1381964</v>
      </c>
      <c r="D7767">
        <v>1005</v>
      </c>
    </row>
    <row r="7768" spans="1:4" x14ac:dyDescent="0.25">
      <c r="A7768" t="str">
        <f>T("   521214")</f>
        <v xml:space="preserve">   521214</v>
      </c>
      <c r="B7768" t="str">
        <f>T("   Tissus de coton, en fils de diverses couleurs, contenant en prédominance, mais &lt; 85% en poids de coton, autres que mélangés principalement ou uniquement avec des fibres synthétiques ou artificielles, d'un poids &lt;= 200 g/m²")</f>
        <v xml:space="preserve">   Tissus de coton, en fils de diverses couleurs, contenant en prédominance, mais &lt; 85% en poids de coton, autres que mélangés principalement ou uniquement avec des fibres synthétiques ou artificielles, d'un poids &lt;= 200 g/m²</v>
      </c>
      <c r="C7768">
        <v>1626000</v>
      </c>
      <c r="D7768">
        <v>1485</v>
      </c>
    </row>
    <row r="7769" spans="1:4" x14ac:dyDescent="0.25">
      <c r="A7769" t="str">
        <f>T("   521215")</f>
        <v xml:space="preserve">   521215</v>
      </c>
      <c r="B7769" t="str">
        <f>T("   Tissus de coton, imprimés, contenant en prédominance, mais &lt; 85% en poids de coton, autres que mélangés principalement ou uniquement avec des fibres synthétiques ou artificielles, d'un poids &lt;= 200 g/m²")</f>
        <v xml:space="preserve">   Tissus de coton, imprimés, contenant en prédominance, mais &lt; 85% en poids de coton, autres que mélangés principalement ou uniquement avec des fibres synthétiques ou artificielles, d'un poids &lt;= 200 g/m²</v>
      </c>
      <c r="C7769">
        <v>402046</v>
      </c>
      <c r="D7769">
        <v>355</v>
      </c>
    </row>
    <row r="7770" spans="1:4" x14ac:dyDescent="0.25">
      <c r="A7770" t="str">
        <f>T("   521221")</f>
        <v xml:space="preserve">   521221</v>
      </c>
      <c r="B7770" t="str">
        <f>T("   Tissus de coton, écrus, contenant en prédominance, mais &lt; 85% en poids de coton, autres que mélangés principalement ou uniquement avec des fibres synthétiques ou artificielles, d'un poids &gt; 200 g/m²")</f>
        <v xml:space="preserve">   Tissus de coton, écrus, contenant en prédominance, mais &lt; 85% en poids de coton, autres que mélangés principalement ou uniquement avec des fibres synthétiques ou artificielles, d'un poids &gt; 200 g/m²</v>
      </c>
      <c r="C7770">
        <v>613882</v>
      </c>
      <c r="D7770">
        <v>440</v>
      </c>
    </row>
    <row r="7771" spans="1:4" x14ac:dyDescent="0.25">
      <c r="A7771" t="str">
        <f>T("   540620")</f>
        <v xml:space="preserve">   540620</v>
      </c>
      <c r="B7771" t="str">
        <f>T("   Fils de filaments artificiels, conditionnés pour la vente au détail (à l'excl. des fils à coudre)")</f>
        <v xml:space="preserve">   Fils de filaments artificiels, conditionnés pour la vente au détail (à l'excl. des fils à coudre)</v>
      </c>
      <c r="C7771">
        <v>203750</v>
      </c>
      <c r="D7771">
        <v>350</v>
      </c>
    </row>
    <row r="7772" spans="1:4" x14ac:dyDescent="0.25">
      <c r="A7772" t="str">
        <f>T("   550510")</f>
        <v xml:space="preserve">   550510</v>
      </c>
      <c r="B7772" t="str">
        <f>T("   Déchets de fibres synthétiques, y.c. les blousses, les déchets de fils et les effilochés")</f>
        <v xml:space="preserve">   Déchets de fibres synthétiques, y.c. les blousses, les déchets de fils et les effilochés</v>
      </c>
      <c r="C7772">
        <v>487550</v>
      </c>
      <c r="D7772">
        <v>1393</v>
      </c>
    </row>
    <row r="7773" spans="1:4" x14ac:dyDescent="0.25">
      <c r="A7773" t="str">
        <f>T("   551219")</f>
        <v xml:space="preserve">   551219</v>
      </c>
      <c r="B7773"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7773">
        <v>234000</v>
      </c>
      <c r="D7773">
        <v>130</v>
      </c>
    </row>
    <row r="7774" spans="1:4" x14ac:dyDescent="0.25">
      <c r="A7774" t="str">
        <f>T("   551299")</f>
        <v xml:space="preserve">   551299</v>
      </c>
      <c r="B7774" t="str">
        <f>T("   Tissus, teints, imprimés ou en fils de diverses couleurs, de fibres synthétiques discontinues, contenant &gt;= 85% en poids de ces fibres (à l'excl. des tissus de fibres discontinues acryliques ou modacryliques ou de fibres discontinues de polyester)")</f>
        <v xml:space="preserve">   Tissus, teints, imprimés ou en fils de diverses couleurs, de fibres synthétiques discontinues, contenant &gt;= 85% en poids de ces fibres (à l'excl. des tissus de fibres discontinues acryliques ou modacryliques ou de fibres discontinues de polyester)</v>
      </c>
      <c r="C7774">
        <v>20000000</v>
      </c>
      <c r="D7774">
        <v>19950</v>
      </c>
    </row>
    <row r="7775" spans="1:4" x14ac:dyDescent="0.25">
      <c r="A7775" t="str">
        <f>T("   551443")</f>
        <v xml:space="preserve">   551443</v>
      </c>
      <c r="B7775" t="s">
        <v>230</v>
      </c>
      <c r="C7775">
        <v>12209528</v>
      </c>
      <c r="D7775">
        <v>50726</v>
      </c>
    </row>
    <row r="7776" spans="1:4" x14ac:dyDescent="0.25">
      <c r="A7776" t="str">
        <f>T("   551529")</f>
        <v xml:space="preserve">   551529</v>
      </c>
      <c r="B7776" t="s">
        <v>232</v>
      </c>
      <c r="C7776">
        <v>330000</v>
      </c>
      <c r="D7776">
        <v>165</v>
      </c>
    </row>
    <row r="7777" spans="1:4" x14ac:dyDescent="0.25">
      <c r="A7777" t="str">
        <f>T("   551599")</f>
        <v xml:space="preserve">   551599</v>
      </c>
      <c r="B7777" t="s">
        <v>235</v>
      </c>
      <c r="C7777">
        <v>1294400</v>
      </c>
      <c r="D7777">
        <v>628</v>
      </c>
    </row>
    <row r="7778" spans="1:4" x14ac:dyDescent="0.25">
      <c r="A7778" t="str">
        <f>T("   560490")</f>
        <v xml:space="preserve">   560490</v>
      </c>
      <c r="B7778"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7778">
        <v>2530500</v>
      </c>
      <c r="D7778">
        <v>7230</v>
      </c>
    </row>
    <row r="7779" spans="1:4" x14ac:dyDescent="0.25">
      <c r="A7779" t="str">
        <f>T("   560721")</f>
        <v xml:space="preserve">   560721</v>
      </c>
      <c r="B7779" t="str">
        <f>T("   Ficelles lieuses ou botteleuses, de sisal ou d'autres fibres textiles du genre 'Agave'")</f>
        <v xml:space="preserve">   Ficelles lieuses ou botteleuses, de sisal ou d'autres fibres textiles du genre 'Agave'</v>
      </c>
      <c r="C7779">
        <v>35000</v>
      </c>
      <c r="D7779">
        <v>100</v>
      </c>
    </row>
    <row r="7780" spans="1:4" x14ac:dyDescent="0.25">
      <c r="A7780" t="str">
        <f>T("   560729")</f>
        <v xml:space="preserve">   560729</v>
      </c>
      <c r="B7780" t="str">
        <f>T("   Ficelles, cordes et cordages, de sisal ou d'autres fibres textiles du genre 'Agave', tressés ou non, même imprégnés, enduits, recouverts ou gainés de caoutchouc ou de matière plastique (à l'excl. des ficelles lieuses ou botteleuses)")</f>
        <v xml:space="preserve">   Ficelles, cordes et cordages, de sisal ou d'autres fibres textiles du genre 'Agave', tressés ou non, même imprégnés, enduits, recouverts ou gainés de caoutchouc ou de matière plastique (à l'excl. des ficelles lieuses ou botteleuses)</v>
      </c>
      <c r="C7780">
        <v>409500</v>
      </c>
      <c r="D7780">
        <v>1170</v>
      </c>
    </row>
    <row r="7781" spans="1:4" x14ac:dyDescent="0.25">
      <c r="A7781" t="str">
        <f>T("   560749")</f>
        <v xml:space="preserve">   560749</v>
      </c>
      <c r="B7781"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7781">
        <v>2553250</v>
      </c>
      <c r="D7781">
        <v>7295</v>
      </c>
    </row>
    <row r="7782" spans="1:4" x14ac:dyDescent="0.25">
      <c r="A7782" t="str">
        <f>T("   560811")</f>
        <v xml:space="preserve">   560811</v>
      </c>
      <c r="B7782"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7782">
        <v>56000</v>
      </c>
      <c r="D7782">
        <v>60</v>
      </c>
    </row>
    <row r="7783" spans="1:4" x14ac:dyDescent="0.25">
      <c r="A7783" t="str">
        <f>T("   560900")</f>
        <v xml:space="preserve">   560900</v>
      </c>
      <c r="B7783" t="str">
        <f>T("   Articles en fils, lames ou formes simil. du n° 5404 ou 5405, ficelles, cordes ou cordages du n° 5607, n.d.a.")</f>
        <v xml:space="preserve">   Articles en fils, lames ou formes simil. du n° 5404 ou 5405, ficelles, cordes ou cordages du n° 5607, n.d.a.</v>
      </c>
      <c r="C7783">
        <v>29250</v>
      </c>
      <c r="D7783">
        <v>30</v>
      </c>
    </row>
    <row r="7784" spans="1:4" x14ac:dyDescent="0.25">
      <c r="A7784" t="str">
        <f>T("   570390")</f>
        <v xml:space="preserve">   570390</v>
      </c>
      <c r="B7784"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7784">
        <v>25000</v>
      </c>
      <c r="D7784">
        <v>30</v>
      </c>
    </row>
    <row r="7785" spans="1:4" x14ac:dyDescent="0.25">
      <c r="A7785" t="str">
        <f>T("   580429")</f>
        <v xml:space="preserve">   580429</v>
      </c>
      <c r="B7785" t="str">
        <f>T("   Dentelles à la mécanique, en pièces, en bandes ou en motifs (à l'excl. des articles de fibres synthétiques ou artificielles ainsi que des produits du n° 6002 à 6006)")</f>
        <v xml:space="preserve">   Dentelles à la mécanique, en pièces, en bandes ou en motifs (à l'excl. des articles de fibres synthétiques ou artificielles ainsi que des produits du n° 6002 à 6006)</v>
      </c>
      <c r="C7785">
        <v>3254308</v>
      </c>
      <c r="D7785">
        <v>2973</v>
      </c>
    </row>
    <row r="7786" spans="1:4" x14ac:dyDescent="0.25">
      <c r="A7786" t="str">
        <f>T("   580500")</f>
        <v xml:space="preserve">   580500</v>
      </c>
      <c r="B7786" t="s">
        <v>246</v>
      </c>
      <c r="C7786">
        <v>245000</v>
      </c>
      <c r="D7786">
        <v>240</v>
      </c>
    </row>
    <row r="7787" spans="1:4" x14ac:dyDescent="0.25">
      <c r="A7787" t="str">
        <f>T("   580640")</f>
        <v xml:space="preserve">   580640</v>
      </c>
      <c r="B7787" t="str">
        <f>T("   Rubans sans trame, en fils ou fibres parallélisés et encollés [bolducs]")</f>
        <v xml:space="preserve">   Rubans sans trame, en fils ou fibres parallélisés et encollés [bolducs]</v>
      </c>
      <c r="C7787">
        <v>405950</v>
      </c>
      <c r="D7787">
        <v>230</v>
      </c>
    </row>
    <row r="7788" spans="1:4" x14ac:dyDescent="0.25">
      <c r="A7788" t="str">
        <f>T("   590190")</f>
        <v xml:space="preserve">   590190</v>
      </c>
      <c r="B7788" t="str">
        <f>T("   Toiles à calquer ou transparentes pour le dessin; toiles préparées pour la peinture; bougran et tissus simil. raidis des types utilisés pour la chapellerie (à l'excl. des tissus enduits de matière plastique)")</f>
        <v xml:space="preserve">   Toiles à calquer ou transparentes pour le dessin; toiles préparées pour la peinture; bougran et tissus simil. raidis des types utilisés pour la chapellerie (à l'excl. des tissus enduits de matière plastique)</v>
      </c>
      <c r="C7788">
        <v>30039311</v>
      </c>
      <c r="D7788">
        <v>32195</v>
      </c>
    </row>
    <row r="7789" spans="1:4" x14ac:dyDescent="0.25">
      <c r="A7789" t="str">
        <f>T("   590800")</f>
        <v xml:space="preserve">   590800</v>
      </c>
      <c r="B7789" t="s">
        <v>248</v>
      </c>
      <c r="C7789">
        <v>9375</v>
      </c>
      <c r="D7789">
        <v>15</v>
      </c>
    </row>
    <row r="7790" spans="1:4" x14ac:dyDescent="0.25">
      <c r="A7790" t="str">
        <f>T("   610422")</f>
        <v xml:space="preserve">   610422</v>
      </c>
      <c r="B7790" t="str">
        <f>T("   Ensembles en bonneterie, de coton, pour femmes ou fillettes (sauf ensembles de ski et maillots, culottes et slips de bain)")</f>
        <v xml:space="preserve">   Ensembles en bonneterie, de coton, pour femmes ou fillettes (sauf ensembles de ski et maillots, culottes et slips de bain)</v>
      </c>
      <c r="C7790">
        <v>72000</v>
      </c>
      <c r="D7790">
        <v>180</v>
      </c>
    </row>
    <row r="7791" spans="1:4" x14ac:dyDescent="0.25">
      <c r="A7791" t="str">
        <f>T("   610910")</f>
        <v xml:space="preserve">   610910</v>
      </c>
      <c r="B7791" t="str">
        <f>T("   T-shirts et maillots de corps, en bonneterie, de coton,")</f>
        <v xml:space="preserve">   T-shirts et maillots de corps, en bonneterie, de coton,</v>
      </c>
      <c r="C7791">
        <v>7557000</v>
      </c>
      <c r="D7791">
        <v>12665</v>
      </c>
    </row>
    <row r="7792" spans="1:4" x14ac:dyDescent="0.25">
      <c r="A7792" t="str">
        <f>T("   610990")</f>
        <v xml:space="preserve">   610990</v>
      </c>
      <c r="B7792" t="str">
        <f>T("   T-shirts et maillots de corps, en bonneterie, de matières textiles (sauf de coton)")</f>
        <v xml:space="preserve">   T-shirts et maillots de corps, en bonneterie, de matières textiles (sauf de coton)</v>
      </c>
      <c r="C7792">
        <v>1050000</v>
      </c>
      <c r="D7792">
        <v>1752</v>
      </c>
    </row>
    <row r="7793" spans="1:4" x14ac:dyDescent="0.25">
      <c r="A7793" t="str">
        <f>T("   611300")</f>
        <v xml:space="preserve">   611300</v>
      </c>
      <c r="B7793" t="str">
        <f>T("   Vêtements confectionnés en étoffes de bonneterie caoutchoutées ou imprégnées, enduites ou recouvertes de matière plastique ou d'autres substances (sauf vêtements pour bébés et accessoires du vêtement)")</f>
        <v xml:space="preserve">   Vêtements confectionnés en étoffes de bonneterie caoutchoutées ou imprégnées, enduites ou recouvertes de matière plastique ou d'autres substances (sauf vêtements pour bébés et accessoires du vêtement)</v>
      </c>
      <c r="C7793">
        <v>33567000</v>
      </c>
      <c r="D7793">
        <v>33750</v>
      </c>
    </row>
    <row r="7794" spans="1:4" x14ac:dyDescent="0.25">
      <c r="A7794" t="str">
        <f>T("   621430")</f>
        <v xml:space="preserve">   621430</v>
      </c>
      <c r="B7794" t="str">
        <f>T("   Châles, écharpes, foulards, cache-nez, cache-col, mantilles, voiles et voilettes et articles simil., de fibres synthétiques (autres qu'en bonneterie)")</f>
        <v xml:space="preserve">   Châles, écharpes, foulards, cache-nez, cache-col, mantilles, voiles et voilettes et articles simil., de fibres synthétiques (autres qu'en bonneterie)</v>
      </c>
      <c r="C7794">
        <v>118100</v>
      </c>
      <c r="D7794">
        <v>51</v>
      </c>
    </row>
    <row r="7795" spans="1:4" x14ac:dyDescent="0.25">
      <c r="A7795" t="str">
        <f>T("   630240")</f>
        <v xml:space="preserve">   630240</v>
      </c>
      <c r="B7795" t="str">
        <f>T("   LINGE DE TABLE EN BONNETERIE")</f>
        <v xml:space="preserve">   LINGE DE TABLE EN BONNETERIE</v>
      </c>
      <c r="C7795">
        <v>1377516</v>
      </c>
      <c r="D7795">
        <v>1000</v>
      </c>
    </row>
    <row r="7796" spans="1:4" x14ac:dyDescent="0.25">
      <c r="A7796" t="str">
        <f>T("   630259")</f>
        <v xml:space="preserve">   630259</v>
      </c>
      <c r="B7796" t="str">
        <f>T("   LINGE DE TABLE DE MATIÈRES TEXTILES (AUTRE QUE DE COTON, FIBRES SYNTHÉTIQUES OU ARTIFICIELLES, AUTRE QU'EN BONNETERIE)")</f>
        <v xml:space="preserve">   LINGE DE TABLE DE MATIÈRES TEXTILES (AUTRE QUE DE COTON, FIBRES SYNTHÉTIQUES OU ARTIFICIELLES, AUTRE QU'EN BONNETERIE)</v>
      </c>
      <c r="C7796">
        <v>255600</v>
      </c>
      <c r="D7796">
        <v>426</v>
      </c>
    </row>
    <row r="7797" spans="1:4" x14ac:dyDescent="0.25">
      <c r="A7797" t="str">
        <f>T("   630260")</f>
        <v xml:space="preserve">   630260</v>
      </c>
      <c r="B7797"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7797">
        <v>150000</v>
      </c>
      <c r="D7797">
        <v>125</v>
      </c>
    </row>
    <row r="7798" spans="1:4" x14ac:dyDescent="0.25">
      <c r="A7798" t="str">
        <f>T("   630319")</f>
        <v xml:space="preserve">   630319</v>
      </c>
      <c r="B7798"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7798">
        <v>418473</v>
      </c>
      <c r="D7798">
        <v>896</v>
      </c>
    </row>
    <row r="7799" spans="1:4" x14ac:dyDescent="0.25">
      <c r="A7799" t="str">
        <f>T("   630419")</f>
        <v xml:space="preserve">   630419</v>
      </c>
      <c r="B7799" t="str">
        <f>T("   Couvre-lits en tous types de matières textiles (autres qu'en bonneterie et sauf linge de lit, couvre-pieds et édredons)")</f>
        <v xml:space="preserve">   Couvre-lits en tous types de matières textiles (autres qu'en bonneterie et sauf linge de lit, couvre-pieds et édredons)</v>
      </c>
      <c r="C7799">
        <v>300000</v>
      </c>
      <c r="D7799">
        <v>100</v>
      </c>
    </row>
    <row r="7800" spans="1:4" x14ac:dyDescent="0.25">
      <c r="A7800" t="str">
        <f>T("   630491")</f>
        <v xml:space="preserve">   630491</v>
      </c>
      <c r="B7800" t="s">
        <v>269</v>
      </c>
      <c r="C7800">
        <v>1374260</v>
      </c>
      <c r="D7800">
        <v>221</v>
      </c>
    </row>
    <row r="7801" spans="1:4" x14ac:dyDescent="0.25">
      <c r="A7801" t="str">
        <f>T("   630510")</f>
        <v xml:space="preserve">   630510</v>
      </c>
      <c r="B7801" t="str">
        <f>T("   Sacs et sachets d'emballage de jute ou d'autres fibres textiles libériennes du n° 5303")</f>
        <v xml:space="preserve">   Sacs et sachets d'emballage de jute ou d'autres fibres textiles libériennes du n° 5303</v>
      </c>
      <c r="C7801">
        <v>4999750</v>
      </c>
      <c r="D7801">
        <v>7504</v>
      </c>
    </row>
    <row r="7802" spans="1:4" x14ac:dyDescent="0.25">
      <c r="A7802" t="str">
        <f>T("   630533")</f>
        <v xml:space="preserve">   630533</v>
      </c>
      <c r="B7802"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7802">
        <v>6015000</v>
      </c>
      <c r="D7802">
        <v>40100</v>
      </c>
    </row>
    <row r="7803" spans="1:4" x14ac:dyDescent="0.25">
      <c r="A7803" t="str">
        <f>T("   630590")</f>
        <v xml:space="preserve">   630590</v>
      </c>
      <c r="B7803"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7803">
        <v>250000</v>
      </c>
      <c r="D7803">
        <v>500</v>
      </c>
    </row>
    <row r="7804" spans="1:4" x14ac:dyDescent="0.25">
      <c r="A7804" t="str">
        <f>T("   630611")</f>
        <v xml:space="preserve">   630611</v>
      </c>
      <c r="B7804" t="str">
        <f>T("   Bâches et stores d'extérieur de coton (sauf auvents plats en tissus légers, confectionnés selon le type de bâche)")</f>
        <v xml:space="preserve">   Bâches et stores d'extérieur de coton (sauf auvents plats en tissus légers, confectionnés selon le type de bâche)</v>
      </c>
      <c r="C7804">
        <v>170000</v>
      </c>
      <c r="D7804">
        <v>100</v>
      </c>
    </row>
    <row r="7805" spans="1:4" x14ac:dyDescent="0.25">
      <c r="A7805" t="str">
        <f>T("   630619")</f>
        <v xml:space="preserve">   630619</v>
      </c>
      <c r="B7805"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7805">
        <v>3340735</v>
      </c>
      <c r="D7805">
        <v>2410</v>
      </c>
    </row>
    <row r="7806" spans="1:4" x14ac:dyDescent="0.25">
      <c r="A7806" t="str">
        <f>T("   630629")</f>
        <v xml:space="preserve">   630629</v>
      </c>
      <c r="B7806" t="str">
        <f>T("   Tentes de matières textiles (autres que de coton ou fibres synthétiques et sauf paravents)")</f>
        <v xml:space="preserve">   Tentes de matières textiles (autres que de coton ou fibres synthétiques et sauf paravents)</v>
      </c>
      <c r="C7806">
        <v>44352913</v>
      </c>
      <c r="D7806">
        <v>19337.5</v>
      </c>
    </row>
    <row r="7807" spans="1:4" x14ac:dyDescent="0.25">
      <c r="A7807" t="str">
        <f>T("   630710")</f>
        <v xml:space="preserve">   630710</v>
      </c>
      <c r="B7807" t="str">
        <f>T("   Serpillières ou wassingues, lavettes, chamoisettes et articles d'entretien simil. en tous types de matières textiles")</f>
        <v xml:space="preserve">   Serpillières ou wassingues, lavettes, chamoisettes et articles d'entretien simil. en tous types de matières textiles</v>
      </c>
      <c r="C7807">
        <v>1330000</v>
      </c>
      <c r="D7807">
        <v>665</v>
      </c>
    </row>
    <row r="7808" spans="1:4" x14ac:dyDescent="0.25">
      <c r="A7808" t="str">
        <f>T("   630900")</f>
        <v xml:space="preserve">   630900</v>
      </c>
      <c r="B7808" t="s">
        <v>273</v>
      </c>
      <c r="C7808">
        <v>116226701</v>
      </c>
      <c r="D7808">
        <v>218271</v>
      </c>
    </row>
    <row r="7809" spans="1:4" x14ac:dyDescent="0.25">
      <c r="A7809" t="str">
        <f>T("   640220")</f>
        <v xml:space="preserve">   640220</v>
      </c>
      <c r="B7809"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7809">
        <v>27445800</v>
      </c>
      <c r="D7809">
        <v>94298</v>
      </c>
    </row>
    <row r="7810" spans="1:4" x14ac:dyDescent="0.25">
      <c r="A7810" t="str">
        <f>T("   640230")</f>
        <v xml:space="preserve">   640230</v>
      </c>
      <c r="B7810" t="s">
        <v>277</v>
      </c>
      <c r="C7810">
        <v>81000</v>
      </c>
      <c r="D7810">
        <v>320</v>
      </c>
    </row>
    <row r="7811" spans="1:4" x14ac:dyDescent="0.25">
      <c r="A7811" t="str">
        <f>T("   640319")</f>
        <v xml:space="preserve">   640319</v>
      </c>
      <c r="B7811" t="s">
        <v>279</v>
      </c>
      <c r="C7811">
        <v>33000</v>
      </c>
      <c r="D7811">
        <v>15</v>
      </c>
    </row>
    <row r="7812" spans="1:4" x14ac:dyDescent="0.25">
      <c r="A7812" t="str">
        <f>T("   640340")</f>
        <v xml:space="preserve">   640340</v>
      </c>
      <c r="B7812"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7812">
        <v>15000</v>
      </c>
      <c r="D7812">
        <v>30</v>
      </c>
    </row>
    <row r="7813" spans="1:4" x14ac:dyDescent="0.25">
      <c r="A7813" t="str">
        <f>T("   640419")</f>
        <v xml:space="preserve">   640419</v>
      </c>
      <c r="B7813" t="s">
        <v>282</v>
      </c>
      <c r="C7813">
        <v>6819250</v>
      </c>
      <c r="D7813">
        <v>27093</v>
      </c>
    </row>
    <row r="7814" spans="1:4" x14ac:dyDescent="0.25">
      <c r="A7814" t="str">
        <f>T("   640590")</f>
        <v xml:space="preserve">   640590</v>
      </c>
      <c r="B7814" t="s">
        <v>283</v>
      </c>
      <c r="C7814">
        <v>54196115</v>
      </c>
      <c r="D7814">
        <v>49059</v>
      </c>
    </row>
    <row r="7815" spans="1:4" x14ac:dyDescent="0.25">
      <c r="A7815" t="str">
        <f>T("   640620")</f>
        <v xml:space="preserve">   640620</v>
      </c>
      <c r="B7815" t="str">
        <f>T("   Semelles extérieures et talons de chaussures, en caoutchouc ou en matière plastique")</f>
        <v xml:space="preserve">   Semelles extérieures et talons de chaussures, en caoutchouc ou en matière plastique</v>
      </c>
      <c r="C7815">
        <v>323700</v>
      </c>
      <c r="D7815">
        <v>1181</v>
      </c>
    </row>
    <row r="7816" spans="1:4" x14ac:dyDescent="0.25">
      <c r="A7816" t="str">
        <f>T("   650610")</f>
        <v xml:space="preserve">   650610</v>
      </c>
      <c r="B7816" t="str">
        <f>T("   Coiffures de sécurité, même garnies")</f>
        <v xml:space="preserve">   Coiffures de sécurité, même garnies</v>
      </c>
      <c r="C7816">
        <v>1416000</v>
      </c>
      <c r="D7816">
        <v>900</v>
      </c>
    </row>
    <row r="7817" spans="1:4" x14ac:dyDescent="0.25">
      <c r="A7817" t="str">
        <f>T("   660199")</f>
        <v xml:space="preserve">   660199</v>
      </c>
      <c r="B7817"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7817">
        <v>1419250</v>
      </c>
      <c r="D7817">
        <v>620</v>
      </c>
    </row>
    <row r="7818" spans="1:4" x14ac:dyDescent="0.25">
      <c r="A7818" t="str">
        <f>T("   670290")</f>
        <v xml:space="preserve">   670290</v>
      </c>
      <c r="B7818"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7818">
        <v>38600</v>
      </c>
      <c r="D7818">
        <v>193</v>
      </c>
    </row>
    <row r="7819" spans="1:4" x14ac:dyDescent="0.25">
      <c r="A7819" t="str">
        <f>T("   670419")</f>
        <v xml:space="preserve">   670419</v>
      </c>
      <c r="B7819" t="str">
        <f>T("   Barbes, sourcils, cils, mèches et articles simil., en matières textiles synthétiques (sauf perruques complètes)")</f>
        <v xml:space="preserve">   Barbes, sourcils, cils, mèches et articles simil., en matières textiles synthétiques (sauf perruques complètes)</v>
      </c>
      <c r="C7819">
        <v>39256641</v>
      </c>
      <c r="D7819">
        <v>45906</v>
      </c>
    </row>
    <row r="7820" spans="1:4" x14ac:dyDescent="0.25">
      <c r="A7820" t="str">
        <f>T("   680410")</f>
        <v xml:space="preserve">   680410</v>
      </c>
      <c r="B7820" t="str">
        <f>T("   Meules à moudre ou à défibrer (sans bâtis), en pierres naturelles, en abrasifs naturels ou artificiels agglomérés ou en céramique")</f>
        <v xml:space="preserve">   Meules à moudre ou à défibrer (sans bâtis), en pierres naturelles, en abrasifs naturels ou artificiels agglomérés ou en céramique</v>
      </c>
      <c r="C7820">
        <v>120000</v>
      </c>
      <c r="D7820">
        <v>60</v>
      </c>
    </row>
    <row r="7821" spans="1:4" x14ac:dyDescent="0.25">
      <c r="A7821" t="str">
        <f>T("   680990")</f>
        <v xml:space="preserve">   680990</v>
      </c>
      <c r="B7821" t="s">
        <v>298</v>
      </c>
      <c r="C7821">
        <v>5848500</v>
      </c>
      <c r="D7821">
        <v>16710</v>
      </c>
    </row>
    <row r="7822" spans="1:4" x14ac:dyDescent="0.25">
      <c r="A7822" t="str">
        <f>T("   681110")</f>
        <v xml:space="preserve">   681110</v>
      </c>
      <c r="B7822" t="str">
        <f>T("   Plaques ondulées en amiante-ciment, cellulose-ciment ou simil.")</f>
        <v xml:space="preserve">   Plaques ondulées en amiante-ciment, cellulose-ciment ou simil.</v>
      </c>
      <c r="C7822">
        <v>682828779</v>
      </c>
      <c r="D7822">
        <v>2335350</v>
      </c>
    </row>
    <row r="7823" spans="1:4" x14ac:dyDescent="0.25">
      <c r="A7823" t="str">
        <f>T("   681120")</f>
        <v xml:space="preserve">   681120</v>
      </c>
      <c r="B7823" t="str">
        <f>T("   Plaques, panneaux, carreaux, tuiles et articles simil., en amiante-ciment, cellulose-ciment ou simil. (sauf plaques ondulées)")</f>
        <v xml:space="preserve">   Plaques, panneaux, carreaux, tuiles et articles simil., en amiante-ciment, cellulose-ciment ou simil. (sauf plaques ondulées)</v>
      </c>
      <c r="C7823">
        <v>735750</v>
      </c>
      <c r="D7823">
        <v>1000</v>
      </c>
    </row>
    <row r="7824" spans="1:4" x14ac:dyDescent="0.25">
      <c r="A7824" t="str">
        <f>T("   690810")</f>
        <v xml:space="preserve">   690810</v>
      </c>
      <c r="B7824"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7824">
        <v>20000</v>
      </c>
      <c r="D7824">
        <v>200</v>
      </c>
    </row>
    <row r="7825" spans="1:4" x14ac:dyDescent="0.25">
      <c r="A7825" t="str">
        <f>T("   690890")</f>
        <v xml:space="preserve">   690890</v>
      </c>
      <c r="B7825" t="s">
        <v>307</v>
      </c>
      <c r="C7825">
        <v>165000</v>
      </c>
      <c r="D7825">
        <v>150</v>
      </c>
    </row>
    <row r="7826" spans="1:4" x14ac:dyDescent="0.25">
      <c r="A7826" t="str">
        <f>T("   691010")</f>
        <v xml:space="preserve">   691010</v>
      </c>
      <c r="B7826" t="s">
        <v>309</v>
      </c>
      <c r="C7826">
        <v>189040</v>
      </c>
      <c r="D7826">
        <v>250</v>
      </c>
    </row>
    <row r="7827" spans="1:4" x14ac:dyDescent="0.25">
      <c r="A7827" t="str">
        <f>T("   691110")</f>
        <v xml:space="preserve">   691110</v>
      </c>
      <c r="B7827" t="s">
        <v>311</v>
      </c>
      <c r="C7827">
        <v>339280</v>
      </c>
      <c r="D7827">
        <v>477</v>
      </c>
    </row>
    <row r="7828" spans="1:4" x14ac:dyDescent="0.25">
      <c r="A7828" t="str">
        <f>T("   691200")</f>
        <v xml:space="preserve">   691200</v>
      </c>
      <c r="B7828" t="s">
        <v>313</v>
      </c>
      <c r="C7828">
        <v>926200</v>
      </c>
      <c r="D7828">
        <v>973</v>
      </c>
    </row>
    <row r="7829" spans="1:4" x14ac:dyDescent="0.25">
      <c r="A7829" t="str">
        <f>T("   691310")</f>
        <v xml:space="preserve">   691310</v>
      </c>
      <c r="B7829" t="str">
        <f>T("   Statuettes et autres objets d'ornementation en porcelaine n.d.a.")</f>
        <v xml:space="preserve">   Statuettes et autres objets d'ornementation en porcelaine n.d.a.</v>
      </c>
      <c r="C7829">
        <v>35000</v>
      </c>
      <c r="D7829">
        <v>35</v>
      </c>
    </row>
    <row r="7830" spans="1:4" x14ac:dyDescent="0.25">
      <c r="A7830" t="str">
        <f>T("   700319")</f>
        <v xml:space="preserve">   700319</v>
      </c>
      <c r="B7830" t="str">
        <f>T("   PLAQUES ET FEUILLES EN VERRE DIT 'COULÉ', MAIS NON AUTREMENT TRAVAILLÉ (AUTRES QUE COLORÉES DANS LA MASSE, OPACIFIÉES, PLAQUÉES [DOUBLÉES], OU À COUCHE RÉFLÉCHISSANTE OU NON-RÉFLÉCHISSANTE ET SAUF EN VERRE ARMÉ)")</f>
        <v xml:space="preserve">   PLAQUES ET FEUILLES EN VERRE DIT 'COULÉ', MAIS NON AUTREMENT TRAVAILLÉ (AUTRES QUE COLORÉES DANS LA MASSE, OPACIFIÉES, PLAQUÉES [DOUBLÉES], OU À COUCHE RÉFLÉCHISSANTE OU NON-RÉFLÉCHISSANTE ET SAUF EN VERRE ARMÉ)</v>
      </c>
      <c r="C7830">
        <v>1500000</v>
      </c>
      <c r="D7830">
        <v>1000</v>
      </c>
    </row>
    <row r="7831" spans="1:4" x14ac:dyDescent="0.25">
      <c r="A7831" t="str">
        <f>T("   700320")</f>
        <v xml:space="preserve">   700320</v>
      </c>
      <c r="B7831" t="str">
        <f>T("   PLAQUES ET FEUILLES EN VERRE DIT 'COULÉ', ARMÉES, MÊME À COUCHE ABSORBANTE, RÉFLÉCHISSANTE OU NON RÉFLÉCHISSANTE, MAIS NON AUTREMENT TRAVAILLÉES [01/01/1988-31/12/1994: PLAQUES ET FEUILLES EN VERRE COULE, ARMEES, MAIS NON AUTREMENT TRAVAILLÉES]")</f>
        <v xml:space="preserve">   PLAQUES ET FEUILLES EN VERRE DIT 'COULÉ', ARMÉES, MÊME À COUCHE ABSORBANTE, RÉFLÉCHISSANTE OU NON RÉFLÉCHISSANTE, MAIS NON AUTREMENT TRAVAILLÉES [01/01/1988-31/12/1994: PLAQUES ET FEUILLES EN VERRE COULE, ARMEES, MAIS NON AUTREMENT TRAVAILLÉES]</v>
      </c>
      <c r="C7831">
        <v>17400000</v>
      </c>
      <c r="D7831">
        <v>8700</v>
      </c>
    </row>
    <row r="7832" spans="1:4" x14ac:dyDescent="0.25">
      <c r="A7832" t="str">
        <f>T("   700490")</f>
        <v xml:space="preserve">   700490</v>
      </c>
      <c r="B7832"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7832">
        <v>8400000</v>
      </c>
      <c r="D7832">
        <v>9460</v>
      </c>
    </row>
    <row r="7833" spans="1:4" x14ac:dyDescent="0.25">
      <c r="A7833" t="str">
        <f>T("   700510")</f>
        <v xml:space="preserve">   700510</v>
      </c>
      <c r="B7833"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7833">
        <v>4419634</v>
      </c>
      <c r="D7833">
        <v>50238</v>
      </c>
    </row>
    <row r="7834" spans="1:4" x14ac:dyDescent="0.25">
      <c r="A7834" t="str">
        <f>T("   700529")</f>
        <v xml:space="preserve">   700529</v>
      </c>
      <c r="B7834" t="s">
        <v>315</v>
      </c>
      <c r="C7834">
        <v>20533361</v>
      </c>
      <c r="D7834">
        <v>100700</v>
      </c>
    </row>
    <row r="7835" spans="1:4" x14ac:dyDescent="0.25">
      <c r="A7835" t="str">
        <f>T("   700711")</f>
        <v xml:space="preserve">   700711</v>
      </c>
      <c r="B7835"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7835">
        <v>7400500</v>
      </c>
      <c r="D7835">
        <v>8010</v>
      </c>
    </row>
    <row r="7836" spans="1:4" x14ac:dyDescent="0.25">
      <c r="A7836" t="str">
        <f>T("   700729")</f>
        <v xml:space="preserve">   700729</v>
      </c>
      <c r="B7836" t="s">
        <v>319</v>
      </c>
      <c r="C7836">
        <v>30000</v>
      </c>
      <c r="D7836">
        <v>120</v>
      </c>
    </row>
    <row r="7837" spans="1:4" x14ac:dyDescent="0.25">
      <c r="A7837" t="str">
        <f>T("   700991")</f>
        <v xml:space="preserve">   700991</v>
      </c>
      <c r="B7837"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7837">
        <v>68950</v>
      </c>
      <c r="D7837">
        <v>197</v>
      </c>
    </row>
    <row r="7838" spans="1:4" x14ac:dyDescent="0.25">
      <c r="A7838" t="str">
        <f>T("   701090")</f>
        <v xml:space="preserve">   701090</v>
      </c>
      <c r="B7838" t="s">
        <v>320</v>
      </c>
      <c r="C7838">
        <v>76852464</v>
      </c>
      <c r="D7838">
        <v>178120</v>
      </c>
    </row>
    <row r="7839" spans="1:4" x14ac:dyDescent="0.25">
      <c r="A7839" t="str">
        <f>T("   701092")</f>
        <v xml:space="preserve">   701092</v>
      </c>
      <c r="B7839" t="s">
        <v>321</v>
      </c>
      <c r="C7839">
        <v>10424400</v>
      </c>
      <c r="D7839">
        <v>260610</v>
      </c>
    </row>
    <row r="7840" spans="1:4" x14ac:dyDescent="0.25">
      <c r="A7840" t="str">
        <f>T("   701329")</f>
        <v xml:space="preserve">   701329</v>
      </c>
      <c r="B7840" t="str">
        <f>T("   Verres à boire (autres qu'en vitrocérame, autres qu'en cristal au plomb)")</f>
        <v xml:space="preserve">   Verres à boire (autres qu'en vitrocérame, autres qu'en cristal au plomb)</v>
      </c>
      <c r="C7840">
        <v>2639540</v>
      </c>
      <c r="D7840">
        <v>12125</v>
      </c>
    </row>
    <row r="7841" spans="1:4" x14ac:dyDescent="0.25">
      <c r="A7841" t="str">
        <f>T("   701332")</f>
        <v xml:space="preserve">   701332</v>
      </c>
      <c r="B7841" t="s">
        <v>323</v>
      </c>
      <c r="C7841">
        <v>100000</v>
      </c>
      <c r="D7841">
        <v>40</v>
      </c>
    </row>
    <row r="7842" spans="1:4" x14ac:dyDescent="0.25">
      <c r="A7842" t="str">
        <f>T("   710122")</f>
        <v xml:space="preserve">   710122</v>
      </c>
      <c r="B7842" t="str">
        <f>T("   Perles de culture, travaillées, même assorties, mais non enfilées, ni montées, ni serties, et perles de culture travaillées enfilées temporairement pour la facilité du transport")</f>
        <v xml:space="preserve">   Perles de culture, travaillées, même assorties, mais non enfilées, ni montées, ni serties, et perles de culture travaillées enfilées temporairement pour la facilité du transport</v>
      </c>
      <c r="C7842">
        <v>3402500</v>
      </c>
      <c r="D7842">
        <v>6805</v>
      </c>
    </row>
    <row r="7843" spans="1:4" x14ac:dyDescent="0.25">
      <c r="A7843" t="str">
        <f>T("   710692")</f>
        <v xml:space="preserve">   710692</v>
      </c>
      <c r="B7843" t="str">
        <f>T("   Argent, y.c. l'argent doré ou vermeil et l'argent platiné, sous formes mi-ouvrées")</f>
        <v xml:space="preserve">   Argent, y.c. l'argent doré ou vermeil et l'argent platiné, sous formes mi-ouvrées</v>
      </c>
      <c r="C7843">
        <v>1000000</v>
      </c>
      <c r="D7843">
        <v>300</v>
      </c>
    </row>
    <row r="7844" spans="1:4" x14ac:dyDescent="0.25">
      <c r="A7844" t="str">
        <f>T("   711711")</f>
        <v xml:space="preserve">   711711</v>
      </c>
      <c r="B7844" t="str">
        <f>T("   Boutons de manchettes et boutons simil., en métaux communs, même argentés, dorés ou platinés")</f>
        <v xml:space="preserve">   Boutons de manchettes et boutons simil., en métaux communs, même argentés, dorés ou platinés</v>
      </c>
      <c r="C7844">
        <v>31500</v>
      </c>
      <c r="D7844">
        <v>10</v>
      </c>
    </row>
    <row r="7845" spans="1:4" x14ac:dyDescent="0.25">
      <c r="A7845" t="str">
        <f>T("   711790")</f>
        <v xml:space="preserve">   711790</v>
      </c>
      <c r="B7845" t="str">
        <f>T("   Bijouterie de fantaisie (autre qu'en métaux communs, même argentés, dorés ou platinés)")</f>
        <v xml:space="preserve">   Bijouterie de fantaisie (autre qu'en métaux communs, même argentés, dorés ou platinés)</v>
      </c>
      <c r="C7845">
        <v>34697260</v>
      </c>
      <c r="D7845">
        <v>11015</v>
      </c>
    </row>
    <row r="7846" spans="1:4" x14ac:dyDescent="0.25">
      <c r="A7846" t="str">
        <f>T("   720110")</f>
        <v xml:space="preserve">   720110</v>
      </c>
      <c r="B7846" t="str">
        <f>T("   FONTES BRUTES NON-ALLIÉES CONTENANT EN POIDS &lt;= 0,5% DE PHOSPHORE, EN GUEUSES, SAUMONS OU AUTRES FORMES PRIMAIRES")</f>
        <v xml:space="preserve">   FONTES BRUTES NON-ALLIÉES CONTENANT EN POIDS &lt;= 0,5% DE PHOSPHORE, EN GUEUSES, SAUMONS OU AUTRES FORMES PRIMAIRES</v>
      </c>
      <c r="C7846">
        <v>290000</v>
      </c>
      <c r="D7846">
        <v>5000</v>
      </c>
    </row>
    <row r="7847" spans="1:4" x14ac:dyDescent="0.25">
      <c r="A7847" t="str">
        <f>T("   720410")</f>
        <v xml:space="preserve">   720410</v>
      </c>
      <c r="B7847" t="str">
        <f>T("   DÉCHETS ET DÉBRIS DE FONTE -FERRAILLES- (AUTRES QUE RADIOACTIFS)")</f>
        <v xml:space="preserve">   DÉCHETS ET DÉBRIS DE FONTE -FERRAILLES- (AUTRES QUE RADIOACTIFS)</v>
      </c>
      <c r="C7847">
        <v>133993160</v>
      </c>
      <c r="D7847">
        <v>1877208</v>
      </c>
    </row>
    <row r="7848" spans="1:4" x14ac:dyDescent="0.25">
      <c r="A7848" t="str">
        <f>T("   720429")</f>
        <v xml:space="preserve">   720429</v>
      </c>
      <c r="B7848"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7848">
        <v>41794800</v>
      </c>
      <c r="D7848">
        <v>729200</v>
      </c>
    </row>
    <row r="7849" spans="1:4" x14ac:dyDescent="0.25">
      <c r="A7849" t="str">
        <f>T("   720890")</f>
        <v xml:space="preserve">   720890</v>
      </c>
      <c r="B7849" t="str">
        <f>T("   PRODUITS LAMINÉS PLATS, EN FER OU EN ACIER, D'UNE LARGEUR &gt;= 600 MM, LAMINÉS À CHAUD ET AYANT SUBI CERTAINES OUVRAISONS PLUS POUSSÉES, MAIS NON-PLAQUÉS NI REVÊTUS")</f>
        <v xml:space="preserve">   PRODUITS LAMINÉS PLATS, EN FER OU EN ACIER, D'UNE LARGEUR &gt;= 600 MM, LAMINÉS À CHAUD ET AYANT SUBI CERTAINES OUVRAISONS PLUS POUSSÉES, MAIS NON-PLAQUÉS NI REVÊTUS</v>
      </c>
      <c r="C7849">
        <v>15000</v>
      </c>
      <c r="D7849">
        <v>100</v>
      </c>
    </row>
    <row r="7850" spans="1:4" x14ac:dyDescent="0.25">
      <c r="A7850" t="str">
        <f>T("   720990")</f>
        <v xml:space="preserve">   720990</v>
      </c>
      <c r="B7850"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7850">
        <v>674970</v>
      </c>
      <c r="D7850">
        <v>200</v>
      </c>
    </row>
    <row r="7851" spans="1:4" x14ac:dyDescent="0.25">
      <c r="A7851" t="str">
        <f>T("   721041")</f>
        <v xml:space="preserve">   721041</v>
      </c>
      <c r="B7851"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7851">
        <v>301623488</v>
      </c>
      <c r="D7851">
        <v>486370</v>
      </c>
    </row>
    <row r="7852" spans="1:4" x14ac:dyDescent="0.25">
      <c r="A7852" t="str">
        <f>T("   721090")</f>
        <v xml:space="preserve">   721090</v>
      </c>
      <c r="B7852" t="s">
        <v>337</v>
      </c>
      <c r="C7852">
        <v>206416260</v>
      </c>
      <c r="D7852">
        <v>739822</v>
      </c>
    </row>
    <row r="7853" spans="1:4" x14ac:dyDescent="0.25">
      <c r="A7853" t="str">
        <f>T("   721420")</f>
        <v xml:space="preserve">   721420</v>
      </c>
      <c r="B7853"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7853">
        <v>82216472</v>
      </c>
      <c r="D7853">
        <v>286400</v>
      </c>
    </row>
    <row r="7854" spans="1:4" x14ac:dyDescent="0.25">
      <c r="A7854" t="str">
        <f>T("   721491")</f>
        <v xml:space="preserve">   721491</v>
      </c>
      <c r="B7854" t="s">
        <v>339</v>
      </c>
      <c r="C7854">
        <v>3967200</v>
      </c>
      <c r="D7854">
        <v>15500</v>
      </c>
    </row>
    <row r="7855" spans="1:4" x14ac:dyDescent="0.25">
      <c r="A7855" t="str">
        <f>T("   721550")</f>
        <v xml:space="preserve">   721550</v>
      </c>
      <c r="B7855" t="str">
        <f>T("   BARRES EN FER OU EN ACIERS NON-ALLIÉS, SIMPL. OBTENUES OU PARACHEVÉES À FROID (À L'EXCL. DES BARRES EN ACIERS DE DÉCOLLETAGE)")</f>
        <v xml:space="preserve">   BARRES EN FER OU EN ACIERS NON-ALLIÉS, SIMPL. OBTENUES OU PARACHEVÉES À FROID (À L'EXCL. DES BARRES EN ACIERS DE DÉCOLLETAGE)</v>
      </c>
      <c r="C7855">
        <v>3672000</v>
      </c>
      <c r="D7855">
        <v>45000</v>
      </c>
    </row>
    <row r="7856" spans="1:4" x14ac:dyDescent="0.25">
      <c r="A7856" t="str">
        <f>T("   721590")</f>
        <v xml:space="preserve">   721590</v>
      </c>
      <c r="B7856"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7856">
        <v>109030229</v>
      </c>
      <c r="D7856">
        <v>413430</v>
      </c>
    </row>
    <row r="7857" spans="1:4" x14ac:dyDescent="0.25">
      <c r="A7857" t="str">
        <f>T("   721610")</f>
        <v xml:space="preserve">   721610</v>
      </c>
      <c r="B7857" t="str">
        <f>T("   PROFILÉS U, I OU H EN FER OU EN ACIERS NON ALLIÉS, SIMPLEMENT LAMINÉS OU FILÉS À CHAUD, HAUTEUR &lt; 80 MM")</f>
        <v xml:space="preserve">   PROFILÉS U, I OU H EN FER OU EN ACIERS NON ALLIÉS, SIMPLEMENT LAMINÉS OU FILÉS À CHAUD, HAUTEUR &lt; 80 MM</v>
      </c>
      <c r="C7857">
        <v>210000</v>
      </c>
      <c r="D7857">
        <v>200</v>
      </c>
    </row>
    <row r="7858" spans="1:4" x14ac:dyDescent="0.25">
      <c r="A7858" t="str">
        <f>T("   721631")</f>
        <v xml:space="preserve">   721631</v>
      </c>
      <c r="B7858" t="str">
        <f>T("   PROFILÉS EN U, EN FER OU EN ACIERS NON-ALLIÉS, SIMPL. LAMINÉS OU FILÉS À CHAUD, D'UNE HAUTEUR &gt;= 80 MM")</f>
        <v xml:space="preserve">   PROFILÉS EN U, EN FER OU EN ACIERS NON-ALLIÉS, SIMPL. LAMINÉS OU FILÉS À CHAUD, D'UNE HAUTEUR &gt;= 80 MM</v>
      </c>
      <c r="C7858">
        <v>59444233</v>
      </c>
      <c r="D7858">
        <v>221882</v>
      </c>
    </row>
    <row r="7859" spans="1:4" x14ac:dyDescent="0.25">
      <c r="A7859" t="str">
        <f>T("   721633")</f>
        <v xml:space="preserve">   721633</v>
      </c>
      <c r="B7859" t="str">
        <f>T("   PROFILÉS EN H, EN FER OU EN ACIERS NON-ALLIÉS, SIMPL. LAMINÉS OU FILÉS À CHAUD, D'UNE HAUTEUR &gt;= 80 MM")</f>
        <v xml:space="preserve">   PROFILÉS EN H, EN FER OU EN ACIERS NON-ALLIÉS, SIMPL. LAMINÉS OU FILÉS À CHAUD, D'UNE HAUTEUR &gt;= 80 MM</v>
      </c>
      <c r="C7859">
        <v>3525205</v>
      </c>
      <c r="D7859">
        <v>6472</v>
      </c>
    </row>
    <row r="7860" spans="1:4" x14ac:dyDescent="0.25">
      <c r="A7860" t="str">
        <f>T("   721669")</f>
        <v xml:space="preserve">   721669</v>
      </c>
      <c r="B7860"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7860">
        <v>60000</v>
      </c>
      <c r="D7860">
        <v>60</v>
      </c>
    </row>
    <row r="7861" spans="1:4" x14ac:dyDescent="0.25">
      <c r="A7861" t="str">
        <f>T("   722230")</f>
        <v xml:space="preserve">   722230</v>
      </c>
      <c r="B7861" t="str">
        <f>T("   BARRES, EN ACIERS INOXYDABLES, OBTENUES OU PARACHEVÉES À FROID ET AYANT SUBI CERTAINES OUVRAISONS PLUS POUSSÉES OU SIMPL. FORGÉES OU FORGÉES OU AUTREMENT OBTENUES À CHAUD ET AYANT SUBI CERTAINES OUVRAISONS PLUS POUSSÉES, N.D.A.")</f>
        <v xml:space="preserve">   BARRES, EN ACIERS INOXYDABLES, OBTENUES OU PARACHEVÉES À FROID ET AYANT SUBI CERTAINES OUVRAISONS PLUS POUSSÉES OU SIMPL. FORGÉES OU FORGÉES OU AUTREMENT OBTENUES À CHAUD ET AYANT SUBI CERTAINES OUVRAISONS PLUS POUSSÉES, N.D.A.</v>
      </c>
      <c r="C7861">
        <v>36000</v>
      </c>
      <c r="D7861">
        <v>170</v>
      </c>
    </row>
    <row r="7862" spans="1:4" x14ac:dyDescent="0.25">
      <c r="A7862" t="str">
        <f>T("   730300")</f>
        <v xml:space="preserve">   730300</v>
      </c>
      <c r="B7862" t="str">
        <f>T("   Tubes, tuyaux et profilés creux, en fonte")</f>
        <v xml:space="preserve">   Tubes, tuyaux et profilés creux, en fonte</v>
      </c>
      <c r="C7862">
        <v>86654613</v>
      </c>
      <c r="D7862">
        <v>295497</v>
      </c>
    </row>
    <row r="7863" spans="1:4" x14ac:dyDescent="0.25">
      <c r="A7863" t="str">
        <f>T("   730439")</f>
        <v xml:space="preserve">   730439</v>
      </c>
      <c r="B7863" t="s">
        <v>344</v>
      </c>
      <c r="C7863">
        <v>336000</v>
      </c>
      <c r="D7863">
        <v>325</v>
      </c>
    </row>
    <row r="7864" spans="1:4" x14ac:dyDescent="0.25">
      <c r="A7864" t="str">
        <f>T("   730490")</f>
        <v xml:space="preserve">   730490</v>
      </c>
      <c r="B7864" t="str">
        <f>T("   Tubes, tuyaux et profilés creux, sans soudure, de section autre que circulaire, en fer (à l'excl. de la fonte) ou en acier")</f>
        <v xml:space="preserve">   Tubes, tuyaux et profilés creux, sans soudure, de section autre que circulaire, en fer (à l'excl. de la fonte) ou en acier</v>
      </c>
      <c r="C7864">
        <v>224700</v>
      </c>
      <c r="D7864">
        <v>450</v>
      </c>
    </row>
    <row r="7865" spans="1:4" x14ac:dyDescent="0.25">
      <c r="A7865" t="str">
        <f>T("   730519")</f>
        <v xml:space="preserve">   730519</v>
      </c>
      <c r="B7865" t="str">
        <f>T("   Tubes et tuyaux des types utilisés pour oléoducs ou gazoducs, de section circulaire, d'un diamètre extérieur &gt; 406,4 mm, en produits laminés plats en fer ou en acier (sauf soudés longitudinalement)")</f>
        <v xml:space="preserve">   Tubes et tuyaux des types utilisés pour oléoducs ou gazoducs, de section circulaire, d'un diamètre extérieur &gt; 406,4 mm, en produits laminés plats en fer ou en acier (sauf soudés longitudinalement)</v>
      </c>
      <c r="C7865">
        <v>80000</v>
      </c>
      <c r="D7865">
        <v>20</v>
      </c>
    </row>
    <row r="7866" spans="1:4" x14ac:dyDescent="0.25">
      <c r="A7866" t="str">
        <f>T("   730630")</f>
        <v xml:space="preserve">   730630</v>
      </c>
      <c r="B7866" t="s">
        <v>345</v>
      </c>
      <c r="C7866">
        <v>1913000</v>
      </c>
      <c r="D7866">
        <v>3985</v>
      </c>
    </row>
    <row r="7867" spans="1:4" x14ac:dyDescent="0.25">
      <c r="A7867" t="str">
        <f>T("   730820")</f>
        <v xml:space="preserve">   730820</v>
      </c>
      <c r="B7867" t="str">
        <f>T("   Tours et pylônes, en fer ou en acier")</f>
        <v xml:space="preserve">   Tours et pylônes, en fer ou en acier</v>
      </c>
      <c r="C7867">
        <v>33075150</v>
      </c>
      <c r="D7867">
        <v>25000</v>
      </c>
    </row>
    <row r="7868" spans="1:4" x14ac:dyDescent="0.25">
      <c r="A7868" t="str">
        <f>T("   730830")</f>
        <v xml:space="preserve">   730830</v>
      </c>
      <c r="B7868" t="str">
        <f>T("   Portes, fenêtres et leurs cadres et chambranles ainsi que leurs seuils, en fer ou en acier")</f>
        <v xml:space="preserve">   Portes, fenêtres et leurs cadres et chambranles ainsi que leurs seuils, en fer ou en acier</v>
      </c>
      <c r="C7868">
        <v>1006920</v>
      </c>
      <c r="D7868">
        <v>1300</v>
      </c>
    </row>
    <row r="7869" spans="1:4" x14ac:dyDescent="0.25">
      <c r="A7869" t="str">
        <f>T("   731010")</f>
        <v xml:space="preserve">   731010</v>
      </c>
      <c r="B7869"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7869">
        <v>240000</v>
      </c>
      <c r="D7869">
        <v>120</v>
      </c>
    </row>
    <row r="7870" spans="1:4" x14ac:dyDescent="0.25">
      <c r="A7870" t="str">
        <f>T("   731029")</f>
        <v xml:space="preserve">   731029</v>
      </c>
      <c r="B7870"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7870">
        <v>3000</v>
      </c>
      <c r="D7870">
        <v>30</v>
      </c>
    </row>
    <row r="7871" spans="1:4" x14ac:dyDescent="0.25">
      <c r="A7871" t="str">
        <f>T("   731100")</f>
        <v xml:space="preserve">   731100</v>
      </c>
      <c r="B7871"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7871">
        <v>6985319</v>
      </c>
      <c r="D7871">
        <v>5199</v>
      </c>
    </row>
    <row r="7872" spans="1:4" x14ac:dyDescent="0.25">
      <c r="A7872" t="str">
        <f>T("   731449")</f>
        <v xml:space="preserve">   731449</v>
      </c>
      <c r="B7872"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7872">
        <v>85000</v>
      </c>
      <c r="D7872">
        <v>200</v>
      </c>
    </row>
    <row r="7873" spans="1:4" x14ac:dyDescent="0.25">
      <c r="A7873" t="str">
        <f>T("   731815")</f>
        <v xml:space="preserve">   731815</v>
      </c>
      <c r="B7873" t="s">
        <v>354</v>
      </c>
      <c r="C7873">
        <v>36000</v>
      </c>
      <c r="D7873">
        <v>200</v>
      </c>
    </row>
    <row r="7874" spans="1:4" x14ac:dyDescent="0.25">
      <c r="A7874" t="str">
        <f>T("   732111")</f>
        <v xml:space="preserve">   732111</v>
      </c>
      <c r="B7874" t="s">
        <v>356</v>
      </c>
      <c r="C7874">
        <v>7604700</v>
      </c>
      <c r="D7874">
        <v>15600</v>
      </c>
    </row>
    <row r="7875" spans="1:4" x14ac:dyDescent="0.25">
      <c r="A7875" t="str">
        <f>T("   732112")</f>
        <v xml:space="preserve">   732112</v>
      </c>
      <c r="B7875" t="s">
        <v>357</v>
      </c>
      <c r="C7875">
        <v>202580</v>
      </c>
      <c r="D7875">
        <v>496</v>
      </c>
    </row>
    <row r="7876" spans="1:4" x14ac:dyDescent="0.25">
      <c r="A7876" t="str">
        <f>T("   732392")</f>
        <v xml:space="preserve">   732392</v>
      </c>
      <c r="B7876" t="s">
        <v>360</v>
      </c>
      <c r="C7876">
        <v>60000</v>
      </c>
      <c r="D7876">
        <v>88</v>
      </c>
    </row>
    <row r="7877" spans="1:4" x14ac:dyDescent="0.25">
      <c r="A7877" t="str">
        <f>T("   732394")</f>
        <v xml:space="preserve">   732394</v>
      </c>
      <c r="B7877" t="s">
        <v>362</v>
      </c>
      <c r="C7877">
        <v>14578550</v>
      </c>
      <c r="D7877">
        <v>41516</v>
      </c>
    </row>
    <row r="7878" spans="1:4" x14ac:dyDescent="0.25">
      <c r="A7878" t="str">
        <f>T("   732399")</f>
        <v xml:space="preserve">   732399</v>
      </c>
      <c r="B7878" t="s">
        <v>363</v>
      </c>
      <c r="C7878">
        <v>1623250</v>
      </c>
      <c r="D7878">
        <v>3975</v>
      </c>
    </row>
    <row r="7879" spans="1:4" x14ac:dyDescent="0.25">
      <c r="A7879" t="str">
        <f>T("   732490")</f>
        <v xml:space="preserve">   732490</v>
      </c>
      <c r="B7879" t="s">
        <v>364</v>
      </c>
      <c r="C7879">
        <v>48000</v>
      </c>
      <c r="D7879">
        <v>60</v>
      </c>
    </row>
    <row r="7880" spans="1:4" x14ac:dyDescent="0.25">
      <c r="A7880" t="str">
        <f>T("   732690")</f>
        <v xml:space="preserve">   732690</v>
      </c>
      <c r="B7880"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880">
        <v>100000</v>
      </c>
      <c r="D7880">
        <v>50</v>
      </c>
    </row>
    <row r="7881" spans="1:4" x14ac:dyDescent="0.25">
      <c r="A7881" t="str">
        <f>T("   740319")</f>
        <v xml:space="preserve">   740319</v>
      </c>
      <c r="B7881" t="str">
        <f>T("   Cuivre affiné, sous forme brute (autre que sous forme de billettes, barres à fil, cathodes ou sections de cathodes)")</f>
        <v xml:space="preserve">   Cuivre affiné, sous forme brute (autre que sous forme de billettes, barres à fil, cathodes ou sections de cathodes)</v>
      </c>
      <c r="C7881">
        <v>444000</v>
      </c>
      <c r="D7881">
        <v>370</v>
      </c>
    </row>
    <row r="7882" spans="1:4" x14ac:dyDescent="0.25">
      <c r="A7882" t="str">
        <f>T("   740729")</f>
        <v xml:space="preserve">   740729</v>
      </c>
      <c r="B7882" t="str">
        <f>T("   BARRES ET PROFILÉS EN ALLIAGES DE CUIVRE, N.D.A. (SAUF EN ALLIAGES À BASE DE CUIVRE-ZINC -LAITON-)")</f>
        <v xml:space="preserve">   BARRES ET PROFILÉS EN ALLIAGES DE CUIVRE, N.D.A. (SAUF EN ALLIAGES À BASE DE CUIVRE-ZINC -LAITON-)</v>
      </c>
      <c r="C7882">
        <v>983828</v>
      </c>
      <c r="D7882">
        <v>172</v>
      </c>
    </row>
    <row r="7883" spans="1:4" x14ac:dyDescent="0.25">
      <c r="A7883" t="str">
        <f>T("   760200")</f>
        <v xml:space="preserve">   760200</v>
      </c>
      <c r="B7883" t="s">
        <v>368</v>
      </c>
      <c r="C7883">
        <v>24000</v>
      </c>
      <c r="D7883">
        <v>160</v>
      </c>
    </row>
    <row r="7884" spans="1:4" x14ac:dyDescent="0.25">
      <c r="A7884" t="str">
        <f>T("   760429")</f>
        <v xml:space="preserve">   760429</v>
      </c>
      <c r="B7884" t="str">
        <f>T("   Barres et profilés pleins en alliages d'aluminium, n.d.a.")</f>
        <v xml:space="preserve">   Barres et profilés pleins en alliages d'aluminium, n.d.a.</v>
      </c>
      <c r="C7884">
        <v>2750000</v>
      </c>
      <c r="D7884">
        <v>2100</v>
      </c>
    </row>
    <row r="7885" spans="1:4" x14ac:dyDescent="0.25">
      <c r="A7885" t="str">
        <f>T("   760611")</f>
        <v xml:space="preserve">   760611</v>
      </c>
      <c r="B7885"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7885">
        <v>51671415</v>
      </c>
      <c r="D7885">
        <v>30045</v>
      </c>
    </row>
    <row r="7886" spans="1:4" x14ac:dyDescent="0.25">
      <c r="A7886" t="str">
        <f>T("   760612")</f>
        <v xml:space="preserve">   760612</v>
      </c>
      <c r="B7886" t="str">
        <f>T("   Tôles et bandes en alliages d'aluminium, d'une épaisseur &gt; 0,2 mm, de forme carrée ou rectangulaire (sauf tôles et bandes déployées)")</f>
        <v xml:space="preserve">   Tôles et bandes en alliages d'aluminium, d'une épaisseur &gt; 0,2 mm, de forme carrée ou rectangulaire (sauf tôles et bandes déployées)</v>
      </c>
      <c r="C7886">
        <v>32568956</v>
      </c>
      <c r="D7886">
        <v>18769</v>
      </c>
    </row>
    <row r="7887" spans="1:4" x14ac:dyDescent="0.25">
      <c r="A7887" t="str">
        <f>T("   760719")</f>
        <v xml:space="preserve">   760719</v>
      </c>
      <c r="B7887"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7887">
        <v>461660</v>
      </c>
      <c r="D7887">
        <v>2303</v>
      </c>
    </row>
    <row r="7888" spans="1:4" x14ac:dyDescent="0.25">
      <c r="A7888" t="str">
        <f>T("   760810")</f>
        <v xml:space="preserve">   760810</v>
      </c>
      <c r="B7888" t="str">
        <f>T("   Tubes et tuyaux en aluminium non allié (sauf profilés creux)")</f>
        <v xml:space="preserve">   Tubes et tuyaux en aluminium non allié (sauf profilés creux)</v>
      </c>
      <c r="C7888">
        <v>33569</v>
      </c>
      <c r="D7888">
        <v>90</v>
      </c>
    </row>
    <row r="7889" spans="1:4" x14ac:dyDescent="0.25">
      <c r="A7889" t="str">
        <f>T("   761090")</f>
        <v xml:space="preserve">   761090</v>
      </c>
      <c r="B7889"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7889">
        <v>1308626</v>
      </c>
      <c r="D7889">
        <v>1957</v>
      </c>
    </row>
    <row r="7890" spans="1:4" x14ac:dyDescent="0.25">
      <c r="A7890" t="str">
        <f>T("   761511")</f>
        <v xml:space="preserve">   761511</v>
      </c>
      <c r="B7890" t="str">
        <f>T("   Eponges, torchons, gants et articles simil. pour le récurage, le polissage et usages analogues, en aluminium (à l'excl. des articles d'hygiène et de toilette)")</f>
        <v xml:space="preserve">   Eponges, torchons, gants et articles simil. pour le récurage, le polissage et usages analogues, en aluminium (à l'excl. des articles d'hygiène et de toilette)</v>
      </c>
      <c r="C7890">
        <v>3500</v>
      </c>
      <c r="D7890">
        <v>10</v>
      </c>
    </row>
    <row r="7891" spans="1:4" x14ac:dyDescent="0.25">
      <c r="A7891" t="str">
        <f>T("   761519")</f>
        <v xml:space="preserve">   761519</v>
      </c>
      <c r="B7891" t="s">
        <v>373</v>
      </c>
      <c r="C7891">
        <v>300000</v>
      </c>
      <c r="D7891">
        <v>300</v>
      </c>
    </row>
    <row r="7892" spans="1:4" x14ac:dyDescent="0.25">
      <c r="A7892" t="str">
        <f>T("   761610")</f>
        <v xml:space="preserve">   761610</v>
      </c>
      <c r="B7892" t="s">
        <v>374</v>
      </c>
      <c r="C7892">
        <v>489000</v>
      </c>
      <c r="D7892">
        <v>480</v>
      </c>
    </row>
    <row r="7893" spans="1:4" x14ac:dyDescent="0.25">
      <c r="A7893" t="str">
        <f>T("   761691")</f>
        <v xml:space="preserve">   761691</v>
      </c>
      <c r="B7893" t="str">
        <f>T("   Toiles métalliques, grillages et treillis, en fils d'aluminium (sauf toiles en fils métalliques pour revêtements, aménagements intérieurs et usages simil., toiles, grillages et treillis transformés en cribles ou tamis à main ou en pièces de machines)")</f>
        <v xml:space="preserve">   Toiles métalliques, grillages et treillis, en fils d'aluminium (sauf toiles en fils métalliques pour revêtements, aménagements intérieurs et usages simil., toiles, grillages et treillis transformés en cribles ou tamis à main ou en pièces de machines)</v>
      </c>
      <c r="C7893">
        <v>42000</v>
      </c>
      <c r="D7893">
        <v>50</v>
      </c>
    </row>
    <row r="7894" spans="1:4" x14ac:dyDescent="0.25">
      <c r="A7894" t="str">
        <f>T("   761699")</f>
        <v xml:space="preserve">   761699</v>
      </c>
      <c r="B7894" t="str">
        <f>T("   Ouvrages en aluminium, n.d.a.")</f>
        <v xml:space="preserve">   Ouvrages en aluminium, n.d.a.</v>
      </c>
      <c r="C7894">
        <v>220000</v>
      </c>
      <c r="D7894">
        <v>350</v>
      </c>
    </row>
    <row r="7895" spans="1:4" x14ac:dyDescent="0.25">
      <c r="A7895" t="str">
        <f>T("   820239")</f>
        <v xml:space="preserve">   820239</v>
      </c>
      <c r="B7895" t="str">
        <f>T("   Lames de scies circulaires, y.c. les lames de fraises-scies, et leurs parties, en métaux communs et avec partie travaillante en matières autres que l'acier")</f>
        <v xml:space="preserve">   Lames de scies circulaires, y.c. les lames de fraises-scies, et leurs parties, en métaux communs et avec partie travaillante en matières autres que l'acier</v>
      </c>
      <c r="C7895">
        <v>218459</v>
      </c>
      <c r="D7895">
        <v>200</v>
      </c>
    </row>
    <row r="7896" spans="1:4" x14ac:dyDescent="0.25">
      <c r="A7896" t="str">
        <f>T("   820520")</f>
        <v xml:space="preserve">   820520</v>
      </c>
      <c r="B7896" t="str">
        <f>T("   Marteaux et masses, avec partie travaillante en métaux communs")</f>
        <v xml:space="preserve">   Marteaux et masses, avec partie travaillante en métaux communs</v>
      </c>
      <c r="C7896">
        <v>354375</v>
      </c>
      <c r="D7896">
        <v>105</v>
      </c>
    </row>
    <row r="7897" spans="1:4" x14ac:dyDescent="0.25">
      <c r="A7897" t="str">
        <f>T("   820551")</f>
        <v xml:space="preserve">   820551</v>
      </c>
      <c r="B7897" t="str">
        <f>T("   Outils à main d'économie domestique, non mécaniques, avec partie travaillante en métaux communs, n.d.a.")</f>
        <v xml:space="preserve">   Outils à main d'économie domestique, non mécaniques, avec partie travaillante en métaux communs, n.d.a.</v>
      </c>
      <c r="C7897">
        <v>8400</v>
      </c>
      <c r="D7897">
        <v>20</v>
      </c>
    </row>
    <row r="7898" spans="1:4" x14ac:dyDescent="0.25">
      <c r="A7898" t="str">
        <f>T("   820559")</f>
        <v xml:space="preserve">   820559</v>
      </c>
      <c r="B7898" t="str">
        <f>T("   Outils à main, y.c. -les diamants de vitrier-, en métaux communs, n.d.a.")</f>
        <v xml:space="preserve">   Outils à main, y.c. -les diamants de vitrier-, en métaux communs, n.d.a.</v>
      </c>
      <c r="C7898">
        <v>18969400</v>
      </c>
      <c r="D7898">
        <v>16598</v>
      </c>
    </row>
    <row r="7899" spans="1:4" x14ac:dyDescent="0.25">
      <c r="A7899" t="str">
        <f>T("   821192")</f>
        <v xml:space="preserve">   821192</v>
      </c>
      <c r="B7899" t="s">
        <v>379</v>
      </c>
      <c r="C7899">
        <v>24000</v>
      </c>
      <c r="D7899">
        <v>12</v>
      </c>
    </row>
    <row r="7900" spans="1:4" x14ac:dyDescent="0.25">
      <c r="A7900" t="str">
        <f>T("   821210")</f>
        <v xml:space="preserve">   821210</v>
      </c>
      <c r="B7900" t="str">
        <f>T("   Rasoirs et rasoirs de sûreté non-électriques, en métaux communs")</f>
        <v xml:space="preserve">   Rasoirs et rasoirs de sûreté non-électriques, en métaux communs</v>
      </c>
      <c r="C7900">
        <v>105000</v>
      </c>
      <c r="D7900">
        <v>40</v>
      </c>
    </row>
    <row r="7901" spans="1:4" x14ac:dyDescent="0.25">
      <c r="A7901" t="str">
        <f>T("   821490")</f>
        <v xml:space="preserve">   821490</v>
      </c>
      <c r="B7901" t="str">
        <f>T("   Tondeuses de coiffeur et autres articles à couper, n.d.a., en métaux communs")</f>
        <v xml:space="preserve">   Tondeuses de coiffeur et autres articles à couper, n.d.a., en métaux communs</v>
      </c>
      <c r="C7901">
        <v>140000</v>
      </c>
      <c r="D7901">
        <v>70</v>
      </c>
    </row>
    <row r="7902" spans="1:4" x14ac:dyDescent="0.25">
      <c r="A7902" t="str">
        <f>T("   821599")</f>
        <v xml:space="preserve">   821599</v>
      </c>
      <c r="B7902" t="s">
        <v>380</v>
      </c>
      <c r="C7902">
        <v>185154090</v>
      </c>
      <c r="D7902">
        <v>333332</v>
      </c>
    </row>
    <row r="7903" spans="1:4" x14ac:dyDescent="0.25">
      <c r="A7903" t="str">
        <f>T("   830130")</f>
        <v xml:space="preserve">   830130</v>
      </c>
      <c r="B7903" t="str">
        <f>T("   Serrures des types utilisés pour meubles, en métaux communs")</f>
        <v xml:space="preserve">   Serrures des types utilisés pour meubles, en métaux communs</v>
      </c>
      <c r="C7903">
        <v>74000</v>
      </c>
      <c r="D7903">
        <v>74</v>
      </c>
    </row>
    <row r="7904" spans="1:4" x14ac:dyDescent="0.25">
      <c r="A7904" t="str">
        <f>T("   830140")</f>
        <v xml:space="preserve">   830140</v>
      </c>
      <c r="B7904"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7904">
        <v>133000</v>
      </c>
      <c r="D7904">
        <v>190</v>
      </c>
    </row>
    <row r="7905" spans="1:4" x14ac:dyDescent="0.25">
      <c r="A7905" t="str">
        <f>T("   830249")</f>
        <v xml:space="preserve">   830249</v>
      </c>
      <c r="B7905" t="s">
        <v>381</v>
      </c>
      <c r="C7905">
        <v>57600</v>
      </c>
      <c r="D7905">
        <v>100</v>
      </c>
    </row>
    <row r="7906" spans="1:4" x14ac:dyDescent="0.25">
      <c r="A7906" t="str">
        <f>T("   830300")</f>
        <v xml:space="preserve">   830300</v>
      </c>
      <c r="B7906"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7906">
        <v>928000</v>
      </c>
      <c r="D7906">
        <v>750</v>
      </c>
    </row>
    <row r="7907" spans="1:4" x14ac:dyDescent="0.25">
      <c r="A7907" t="str">
        <f>T("   830990")</f>
        <v xml:space="preserve">   830990</v>
      </c>
      <c r="B7907"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7907">
        <v>660400</v>
      </c>
      <c r="D7907">
        <v>1651</v>
      </c>
    </row>
    <row r="7908" spans="1:4" x14ac:dyDescent="0.25">
      <c r="A7908" t="str">
        <f>T("   831120")</f>
        <v xml:space="preserve">   831120</v>
      </c>
      <c r="B7908" t="str">
        <f>T("   Fils fourrés en métaux communs, pour le soudage à l'arc")</f>
        <v xml:space="preserve">   Fils fourrés en métaux communs, pour le soudage à l'arc</v>
      </c>
      <c r="C7908">
        <v>105000</v>
      </c>
      <c r="D7908">
        <v>210</v>
      </c>
    </row>
    <row r="7909" spans="1:4" x14ac:dyDescent="0.25">
      <c r="A7909" t="str">
        <f>T("   831130")</f>
        <v xml:space="preserve">   831130</v>
      </c>
      <c r="B7909" t="s">
        <v>384</v>
      </c>
      <c r="C7909">
        <v>8096056</v>
      </c>
      <c r="D7909">
        <v>25163</v>
      </c>
    </row>
    <row r="7910" spans="1:4" x14ac:dyDescent="0.25">
      <c r="A7910" t="str">
        <f>T("   840721")</f>
        <v xml:space="preserve">   840721</v>
      </c>
      <c r="B7910" t="s">
        <v>387</v>
      </c>
      <c r="C7910">
        <v>700000</v>
      </c>
      <c r="D7910">
        <v>920</v>
      </c>
    </row>
    <row r="7911" spans="1:4" x14ac:dyDescent="0.25">
      <c r="A7911" t="str">
        <f>T("   840729")</f>
        <v xml:space="preserve">   840729</v>
      </c>
      <c r="B7911" t="s">
        <v>388</v>
      </c>
      <c r="C7911">
        <v>675000</v>
      </c>
      <c r="D7911">
        <v>1300</v>
      </c>
    </row>
    <row r="7912" spans="1:4" x14ac:dyDescent="0.25">
      <c r="A7912" t="str">
        <f>T("   840734")</f>
        <v xml:space="preserve">   840734</v>
      </c>
      <c r="B7912" t="s">
        <v>390</v>
      </c>
      <c r="C7912">
        <v>9550000</v>
      </c>
      <c r="D7912">
        <v>9500</v>
      </c>
    </row>
    <row r="7913" spans="1:4" x14ac:dyDescent="0.25">
      <c r="A7913" t="str">
        <f>T("   840820")</f>
        <v xml:space="preserve">   840820</v>
      </c>
      <c r="B7913" t="s">
        <v>393</v>
      </c>
      <c r="C7913">
        <v>1800000</v>
      </c>
      <c r="D7913">
        <v>400</v>
      </c>
    </row>
    <row r="7914" spans="1:4" x14ac:dyDescent="0.25">
      <c r="A7914" t="str">
        <f>T("   840890")</f>
        <v xml:space="preserve">   840890</v>
      </c>
      <c r="B7914" t="s">
        <v>394</v>
      </c>
      <c r="C7914">
        <v>589500</v>
      </c>
      <c r="D7914">
        <v>300</v>
      </c>
    </row>
    <row r="7915" spans="1:4" x14ac:dyDescent="0.25">
      <c r="A7915" t="str">
        <f>T("   841381")</f>
        <v xml:space="preserve">   841381</v>
      </c>
      <c r="B7915" t="s">
        <v>398</v>
      </c>
      <c r="C7915">
        <v>493912</v>
      </c>
      <c r="D7915">
        <v>110</v>
      </c>
    </row>
    <row r="7916" spans="1:4" x14ac:dyDescent="0.25">
      <c r="A7916" t="str">
        <f>T("   841382")</f>
        <v xml:space="preserve">   841382</v>
      </c>
      <c r="B7916" t="str">
        <f>T("   Elévateurs à liquides (à l'excl. des pompes)")</f>
        <v xml:space="preserve">   Elévateurs à liquides (à l'excl. des pompes)</v>
      </c>
      <c r="C7916">
        <v>2730000</v>
      </c>
      <c r="D7916">
        <v>5485</v>
      </c>
    </row>
    <row r="7917" spans="1:4" x14ac:dyDescent="0.25">
      <c r="A7917" t="str">
        <f>T("   841410")</f>
        <v xml:space="preserve">   841410</v>
      </c>
      <c r="B7917" t="str">
        <f>T("   Pompes à vide")</f>
        <v xml:space="preserve">   Pompes à vide</v>
      </c>
      <c r="C7917">
        <v>120000</v>
      </c>
      <c r="D7917">
        <v>100</v>
      </c>
    </row>
    <row r="7918" spans="1:4" x14ac:dyDescent="0.25">
      <c r="A7918" t="str">
        <f>T("   841430")</f>
        <v xml:space="preserve">   841430</v>
      </c>
      <c r="B7918" t="str">
        <f>T("   Compresseurs des types utilisés pour équipements frigorifiques")</f>
        <v xml:space="preserve">   Compresseurs des types utilisés pour équipements frigorifiques</v>
      </c>
      <c r="C7918">
        <v>1824745</v>
      </c>
      <c r="D7918">
        <v>7560</v>
      </c>
    </row>
    <row r="7919" spans="1:4" x14ac:dyDescent="0.25">
      <c r="A7919" t="str">
        <f>T("   841451")</f>
        <v xml:space="preserve">   841451</v>
      </c>
      <c r="B7919"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7919">
        <v>82418911</v>
      </c>
      <c r="D7919">
        <v>56935</v>
      </c>
    </row>
    <row r="7920" spans="1:4" x14ac:dyDescent="0.25">
      <c r="A7920" t="str">
        <f>T("   841459")</f>
        <v xml:space="preserve">   841459</v>
      </c>
      <c r="B7920"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7920">
        <v>80000</v>
      </c>
      <c r="D7920">
        <v>50</v>
      </c>
    </row>
    <row r="7921" spans="1:4" x14ac:dyDescent="0.25">
      <c r="A7921" t="str">
        <f>T("   841510")</f>
        <v xml:space="preserve">   841510</v>
      </c>
      <c r="B7921" t="s">
        <v>400</v>
      </c>
      <c r="C7921">
        <v>22975000</v>
      </c>
      <c r="D7921">
        <v>36050</v>
      </c>
    </row>
    <row r="7922" spans="1:4" x14ac:dyDescent="0.25">
      <c r="A7922" t="str">
        <f>T("   841810")</f>
        <v xml:space="preserve">   841810</v>
      </c>
      <c r="B7922" t="str">
        <f>T("   Réfrigérateurs et congélateurs-conservateurs combinés, avec portes extérieures séparées")</f>
        <v xml:space="preserve">   Réfrigérateurs et congélateurs-conservateurs combinés, avec portes extérieures séparées</v>
      </c>
      <c r="C7922">
        <v>2001988</v>
      </c>
      <c r="D7922">
        <v>9500</v>
      </c>
    </row>
    <row r="7923" spans="1:4" x14ac:dyDescent="0.25">
      <c r="A7923" t="str">
        <f>T("   841821")</f>
        <v xml:space="preserve">   841821</v>
      </c>
      <c r="B7923" t="str">
        <f>T("   Réfrigérateurs ménagers à compression")</f>
        <v xml:space="preserve">   Réfrigérateurs ménagers à compression</v>
      </c>
      <c r="C7923">
        <v>21241540</v>
      </c>
      <c r="D7923">
        <v>26230</v>
      </c>
    </row>
    <row r="7924" spans="1:4" x14ac:dyDescent="0.25">
      <c r="A7924" t="str">
        <f>T("   841829")</f>
        <v xml:space="preserve">   841829</v>
      </c>
      <c r="B7924" t="str">
        <f>T("   Réfrigérateurs ménagers à absorption, non-électriques")</f>
        <v xml:space="preserve">   Réfrigérateurs ménagers à absorption, non-électriques</v>
      </c>
      <c r="C7924">
        <v>5156756</v>
      </c>
      <c r="D7924">
        <v>25970</v>
      </c>
    </row>
    <row r="7925" spans="1:4" x14ac:dyDescent="0.25">
      <c r="A7925" t="str">
        <f>T("   841899")</f>
        <v xml:space="preserve">   841899</v>
      </c>
      <c r="B7925"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7925">
        <v>13098853</v>
      </c>
      <c r="D7925">
        <v>8423</v>
      </c>
    </row>
    <row r="7926" spans="1:4" x14ac:dyDescent="0.25">
      <c r="A7926" t="str">
        <f>T("   841919")</f>
        <v xml:space="preserve">   841919</v>
      </c>
      <c r="B7926" t="str">
        <f>T("   Chauffe-eau non-électriques, à chauffage instantané ou à accumulation (à l'excl. des chauffe-eau instantanés à gaz et des chaudières ou générateurs mixtes pour chauffage central)")</f>
        <v xml:space="preserve">   Chauffe-eau non-électriques, à chauffage instantané ou à accumulation (à l'excl. des chauffe-eau instantanés à gaz et des chaudières ou générateurs mixtes pour chauffage central)</v>
      </c>
      <c r="C7926">
        <v>250776</v>
      </c>
      <c r="D7926">
        <v>50</v>
      </c>
    </row>
    <row r="7927" spans="1:4" x14ac:dyDescent="0.25">
      <c r="A7927" t="str">
        <f>T("   841920")</f>
        <v xml:space="preserve">   841920</v>
      </c>
      <c r="B7927" t="str">
        <f>T("   Stérilisateurs médico-chirurgicaux ou de laboratoire")</f>
        <v xml:space="preserve">   Stérilisateurs médico-chirurgicaux ou de laboratoire</v>
      </c>
      <c r="C7927">
        <v>39200</v>
      </c>
      <c r="D7927">
        <v>65</v>
      </c>
    </row>
    <row r="7928" spans="1:4" x14ac:dyDescent="0.25">
      <c r="A7928" t="str">
        <f>T("   841960")</f>
        <v xml:space="preserve">   841960</v>
      </c>
      <c r="B7928" t="str">
        <f>T("   Appareils et dispositifs pour la liquéfaction de l'air ou d'autres gaz")</f>
        <v xml:space="preserve">   Appareils et dispositifs pour la liquéfaction de l'air ou d'autres gaz</v>
      </c>
      <c r="C7928">
        <v>350000</v>
      </c>
      <c r="D7928">
        <v>320</v>
      </c>
    </row>
    <row r="7929" spans="1:4" x14ac:dyDescent="0.25">
      <c r="A7929" t="str">
        <f>T("   842121")</f>
        <v xml:space="preserve">   842121</v>
      </c>
      <c r="B7929" t="str">
        <f>T("   Appareils pour la filtration ou l'épuration des eaux")</f>
        <v xml:space="preserve">   Appareils pour la filtration ou l'épuration des eaux</v>
      </c>
      <c r="C7929">
        <v>50000</v>
      </c>
      <c r="D7929">
        <v>200</v>
      </c>
    </row>
    <row r="7930" spans="1:4" x14ac:dyDescent="0.25">
      <c r="A7930" t="str">
        <f>T("   842123")</f>
        <v xml:space="preserve">   842123</v>
      </c>
      <c r="B7930"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7930">
        <v>159600</v>
      </c>
      <c r="D7930">
        <v>293</v>
      </c>
    </row>
    <row r="7931" spans="1:4" x14ac:dyDescent="0.25">
      <c r="A7931" t="str">
        <f>T("   842131")</f>
        <v xml:space="preserve">   842131</v>
      </c>
      <c r="B7931" t="str">
        <f>T("   Filtres d'entrée d'air pour moteurs à allumage par étincelles ou par compression")</f>
        <v xml:space="preserve">   Filtres d'entrée d'air pour moteurs à allumage par étincelles ou par compression</v>
      </c>
      <c r="C7931">
        <v>45000</v>
      </c>
      <c r="D7931">
        <v>200</v>
      </c>
    </row>
    <row r="7932" spans="1:4" x14ac:dyDescent="0.25">
      <c r="A7932" t="str">
        <f>T("   842230")</f>
        <v xml:space="preserve">   842230</v>
      </c>
      <c r="B7932"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7932">
        <v>14650000</v>
      </c>
      <c r="D7932">
        <v>5820</v>
      </c>
    </row>
    <row r="7933" spans="1:4" x14ac:dyDescent="0.25">
      <c r="A7933" t="str">
        <f>T("   842310")</f>
        <v xml:space="preserve">   842310</v>
      </c>
      <c r="B7933" t="str">
        <f>T("   Pèse-personnes, y.c. les pèse-bébés; balances de ménage")</f>
        <v xml:space="preserve">   Pèse-personnes, y.c. les pèse-bébés; balances de ménage</v>
      </c>
      <c r="C7933">
        <v>36736</v>
      </c>
      <c r="D7933">
        <v>250</v>
      </c>
    </row>
    <row r="7934" spans="1:4" x14ac:dyDescent="0.25">
      <c r="A7934" t="str">
        <f>T("   842381")</f>
        <v xml:space="preserve">   842381</v>
      </c>
      <c r="B7934" t="s">
        <v>407</v>
      </c>
      <c r="C7934">
        <v>189000</v>
      </c>
      <c r="D7934">
        <v>150</v>
      </c>
    </row>
    <row r="7935" spans="1:4" x14ac:dyDescent="0.25">
      <c r="A7935" t="str">
        <f>T("   842382")</f>
        <v xml:space="preserve">   842382</v>
      </c>
      <c r="B7935" t="str">
        <f>T("   Appareils et instruments de pesage, portée &gt; 30 kg mais &lt;= 5000 kg (à l'excl. des pèse-personnes, bascules à pesage continu sur transporteurs, bascules à pesées constantes et balances et bascules ensacheuses ou doseuses)")</f>
        <v xml:space="preserve">   Appareils et instruments de pesage, portée &gt; 30 kg mais &lt;= 5000 kg (à l'excl. des pèse-personnes, bascules à pesage continu sur transporteurs, bascules à pesées constantes et balances et bascules ensacheuses ou doseuses)</v>
      </c>
      <c r="C7935">
        <v>80000</v>
      </c>
      <c r="D7935">
        <v>20</v>
      </c>
    </row>
    <row r="7936" spans="1:4" x14ac:dyDescent="0.25">
      <c r="A7936" t="str">
        <f>T("   842389")</f>
        <v xml:space="preserve">   842389</v>
      </c>
      <c r="B7936" t="str">
        <f>T("   Appareils et instruments de pesage, portée &gt; 5000 kg")</f>
        <v xml:space="preserve">   Appareils et instruments de pesage, portée &gt; 5000 kg</v>
      </c>
      <c r="C7936">
        <v>210000</v>
      </c>
      <c r="D7936">
        <v>250</v>
      </c>
    </row>
    <row r="7937" spans="1:4" x14ac:dyDescent="0.25">
      <c r="A7937" t="str">
        <f>T("   842410")</f>
        <v xml:space="preserve">   842410</v>
      </c>
      <c r="B7937" t="str">
        <f>T("   Extincteurs mécaniques, même chargés (sauf bombes et grenades d'extinction d'incendie)")</f>
        <v xml:space="preserve">   Extincteurs mécaniques, même chargés (sauf bombes et grenades d'extinction d'incendie)</v>
      </c>
      <c r="C7937">
        <v>779880</v>
      </c>
      <c r="D7937">
        <v>1464</v>
      </c>
    </row>
    <row r="7938" spans="1:4" x14ac:dyDescent="0.25">
      <c r="A7938" t="str">
        <f>T("   842481")</f>
        <v xml:space="preserve">   842481</v>
      </c>
      <c r="B7938"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7938">
        <v>50000</v>
      </c>
      <c r="D7938">
        <v>200</v>
      </c>
    </row>
    <row r="7939" spans="1:4" x14ac:dyDescent="0.25">
      <c r="A7939" t="str">
        <f>T("   842490")</f>
        <v xml:space="preserve">   842490</v>
      </c>
      <c r="B7939" t="s">
        <v>410</v>
      </c>
      <c r="C7939">
        <v>137440</v>
      </c>
      <c r="D7939">
        <v>210</v>
      </c>
    </row>
    <row r="7940" spans="1:4" x14ac:dyDescent="0.25">
      <c r="A7940" t="str">
        <f>T("   842549")</f>
        <v xml:space="preserve">   842549</v>
      </c>
      <c r="B7940" t="str">
        <f>T("   Crics et vérins, non hydrauliques")</f>
        <v xml:space="preserve">   Crics et vérins, non hydrauliques</v>
      </c>
      <c r="C7940">
        <v>75000</v>
      </c>
      <c r="D7940">
        <v>45</v>
      </c>
    </row>
    <row r="7941" spans="1:4" x14ac:dyDescent="0.25">
      <c r="A7941" t="str">
        <f>T("   842890")</f>
        <v xml:space="preserve">   842890</v>
      </c>
      <c r="B7941" t="str">
        <f>T("   Machines et appareils de levage, chargement, déchargement ou manutention, n.d.a.")</f>
        <v xml:space="preserve">   Machines et appareils de levage, chargement, déchargement ou manutention, n.d.a.</v>
      </c>
      <c r="C7941">
        <v>97200</v>
      </c>
      <c r="D7941">
        <v>12</v>
      </c>
    </row>
    <row r="7942" spans="1:4" x14ac:dyDescent="0.25">
      <c r="A7942" t="str">
        <f>T("   842940")</f>
        <v xml:space="preserve">   842940</v>
      </c>
      <c r="B7942" t="str">
        <f>T("   Rouleaux compresseurs et autres compacteuses, autopropulsés")</f>
        <v xml:space="preserve">   Rouleaux compresseurs et autres compacteuses, autopropulsés</v>
      </c>
      <c r="C7942">
        <v>2146050</v>
      </c>
      <c r="D7942">
        <v>5000</v>
      </c>
    </row>
    <row r="7943" spans="1:4" x14ac:dyDescent="0.25">
      <c r="A7943" t="str">
        <f>T("   843319")</f>
        <v xml:space="preserve">   843319</v>
      </c>
      <c r="B7943" t="str">
        <f>T("   Tondeuses à gazon à moteur, dont le dispositif de coupe tourne dans un plan vertical, ou à barre de coupe")</f>
        <v xml:space="preserve">   Tondeuses à gazon à moteur, dont le dispositif de coupe tourne dans un plan vertical, ou à barre de coupe</v>
      </c>
      <c r="C7943">
        <v>40000</v>
      </c>
      <c r="D7943">
        <v>100</v>
      </c>
    </row>
    <row r="7944" spans="1:4" x14ac:dyDescent="0.25">
      <c r="A7944" t="str">
        <f>T("   843780")</f>
        <v xml:space="preserve">   843780</v>
      </c>
      <c r="B7944" t="s">
        <v>415</v>
      </c>
      <c r="C7944">
        <v>13897510</v>
      </c>
      <c r="D7944">
        <v>24501</v>
      </c>
    </row>
    <row r="7945" spans="1:4" x14ac:dyDescent="0.25">
      <c r="A7945" t="str">
        <f>T("   843790")</f>
        <v xml:space="preserve">   843790</v>
      </c>
      <c r="B7945"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7945">
        <v>17212412</v>
      </c>
      <c r="D7945">
        <v>28955</v>
      </c>
    </row>
    <row r="7946" spans="1:4" x14ac:dyDescent="0.25">
      <c r="A7946" t="str">
        <f>T("   843880")</f>
        <v xml:space="preserve">   843880</v>
      </c>
      <c r="B7946" t="str">
        <f>T("   Machines et appareils pour la préparation ou la fabrication industrielles d'aliments ou de boissons, n.d.a.")</f>
        <v xml:space="preserve">   Machines et appareils pour la préparation ou la fabrication industrielles d'aliments ou de boissons, n.d.a.</v>
      </c>
      <c r="C7946">
        <v>260000</v>
      </c>
      <c r="D7946">
        <v>500</v>
      </c>
    </row>
    <row r="7947" spans="1:4" x14ac:dyDescent="0.25">
      <c r="A7947" t="str">
        <f>T("   843930")</f>
        <v xml:space="preserve">   843930</v>
      </c>
      <c r="B7947" t="str">
        <f>T("   Machines et appareils pour le finissage du papier ou du carton (à l'excl. des calandres)")</f>
        <v xml:space="preserve">   Machines et appareils pour le finissage du papier ou du carton (à l'excl. des calandres)</v>
      </c>
      <c r="C7947">
        <v>2099072</v>
      </c>
      <c r="D7947">
        <v>3500</v>
      </c>
    </row>
    <row r="7948" spans="1:4" x14ac:dyDescent="0.25">
      <c r="A7948" t="str">
        <f>T("   844010")</f>
        <v xml:space="preserve">   844010</v>
      </c>
      <c r="B7948" t="s">
        <v>418</v>
      </c>
      <c r="C7948">
        <v>510000</v>
      </c>
      <c r="D7948">
        <v>940</v>
      </c>
    </row>
    <row r="7949" spans="1:4" x14ac:dyDescent="0.25">
      <c r="A7949" t="str">
        <f>T("   844120")</f>
        <v xml:space="preserve">   844120</v>
      </c>
      <c r="B7949" t="str">
        <f>T("   Machines pour la fabrication de sacs, sachets ou enveloppes en pâte à papier, papier ou carton (sauf machines à coudre et machines à placer les oeillets)")</f>
        <v xml:space="preserve">   Machines pour la fabrication de sacs, sachets ou enveloppes en pâte à papier, papier ou carton (sauf machines à coudre et machines à placer les oeillets)</v>
      </c>
      <c r="C7949">
        <v>4020840</v>
      </c>
      <c r="D7949">
        <v>6700</v>
      </c>
    </row>
    <row r="7950" spans="1:4" x14ac:dyDescent="0.25">
      <c r="A7950" t="str">
        <f>T("   844250")</f>
        <v xml:space="preserve">   844250</v>
      </c>
      <c r="B7950" t="str">
        <f>T("   PLANCHES, CYLINDRES ET AUTRES ORGANES IMPRIMANTS; PIERRES LITHOGRAPHIQUES, PLANCHES, PLAQUES ET CYLINDRES PRÉPARÉS POUR L'IMPRESSION -PLANÉS, GRENÉS, POLIS, P.EX.-")</f>
        <v xml:space="preserve">   PLANCHES, CYLINDRES ET AUTRES ORGANES IMPRIMANTS; PIERRES LITHOGRAPHIQUES, PLANCHES, PLAQUES ET CYLINDRES PRÉPARÉS POUR L'IMPRESSION -PLANÉS, GRENÉS, POLIS, P.EX.-</v>
      </c>
      <c r="C7950">
        <v>207500</v>
      </c>
      <c r="D7950">
        <v>415</v>
      </c>
    </row>
    <row r="7951" spans="1:4" x14ac:dyDescent="0.25">
      <c r="A7951" t="str">
        <f>T("   844329")</f>
        <v xml:space="preserve">   844329</v>
      </c>
      <c r="B7951" t="str">
        <f>T("   Machines et appareils à imprimer, typographiques (sauf machines et appareils flexographiques, et machines et appareils à imprimer typographiques alimentés en bobines)")</f>
        <v xml:space="preserve">   Machines et appareils à imprimer, typographiques (sauf machines et appareils flexographiques, et machines et appareils à imprimer typographiques alimentés en bobines)</v>
      </c>
      <c r="C7951">
        <v>1049536</v>
      </c>
      <c r="D7951">
        <v>2500</v>
      </c>
    </row>
    <row r="7952" spans="1:4" x14ac:dyDescent="0.25">
      <c r="A7952" t="str">
        <f>T("   844390")</f>
        <v xml:space="preserve">   844390</v>
      </c>
      <c r="B7952" t="str">
        <f>T("   Parties de machines et appareils à imprimer et de leur machines et appareils auxiliaires, n.d.a.")</f>
        <v xml:space="preserve">   Parties de machines et appareils à imprimer et de leur machines et appareils auxiliaires, n.d.a.</v>
      </c>
      <c r="C7952">
        <v>70000</v>
      </c>
      <c r="D7952">
        <v>150</v>
      </c>
    </row>
    <row r="7953" spans="1:4" x14ac:dyDescent="0.25">
      <c r="A7953" t="str">
        <f>T("   845210")</f>
        <v xml:space="preserve">   845210</v>
      </c>
      <c r="B7953" t="str">
        <f>T("   Machines à coudre de type ménager")</f>
        <v xml:space="preserve">   Machines à coudre de type ménager</v>
      </c>
      <c r="C7953">
        <v>1074000</v>
      </c>
      <c r="D7953">
        <v>3530</v>
      </c>
    </row>
    <row r="7954" spans="1:4" x14ac:dyDescent="0.25">
      <c r="A7954" t="str">
        <f>T("   846150")</f>
        <v xml:space="preserve">   846150</v>
      </c>
      <c r="B7954" t="str">
        <f>T("   Machines à scier ou à tronçonner, pour le travail des métaux (autres que l'outillage à main)")</f>
        <v xml:space="preserve">   Machines à scier ou à tronçonner, pour le travail des métaux (autres que l'outillage à main)</v>
      </c>
      <c r="C7954">
        <v>280000</v>
      </c>
      <c r="D7954">
        <v>250</v>
      </c>
    </row>
    <row r="7955" spans="1:4" x14ac:dyDescent="0.25">
      <c r="A7955" t="str">
        <f>T("   846190")</f>
        <v xml:space="preserve">   846190</v>
      </c>
      <c r="B7955" t="str">
        <f>T("   Machines à raboter et autres machines-outils travaillant par enlèvement de métal, n.d.a.")</f>
        <v xml:space="preserve">   Machines à raboter et autres machines-outils travaillant par enlèvement de métal, n.d.a.</v>
      </c>
      <c r="C7955">
        <v>316640</v>
      </c>
      <c r="D7955">
        <v>200</v>
      </c>
    </row>
    <row r="7956" spans="1:4" x14ac:dyDescent="0.25">
      <c r="A7956" t="str">
        <f>T("   846599")</f>
        <v xml:space="preserve">   846599</v>
      </c>
      <c r="B7956" t="s">
        <v>431</v>
      </c>
      <c r="C7956">
        <v>50000</v>
      </c>
      <c r="D7956">
        <v>20</v>
      </c>
    </row>
    <row r="7957" spans="1:4" x14ac:dyDescent="0.25">
      <c r="A7957" t="str">
        <f>T("   846890")</f>
        <v xml:space="preserve">   846890</v>
      </c>
      <c r="B7957" t="str">
        <f>T("   Parties de machines et appareils pour le brasage, le soudage, la trempe artificielle non-électriques, n.d.a.")</f>
        <v xml:space="preserve">   Parties de machines et appareils pour le brasage, le soudage, la trempe artificielle non-électriques, n.d.a.</v>
      </c>
      <c r="C7957">
        <v>8636549</v>
      </c>
      <c r="D7957">
        <v>1831</v>
      </c>
    </row>
    <row r="7958" spans="1:4" x14ac:dyDescent="0.25">
      <c r="A7958" t="str">
        <f>T("   847021")</f>
        <v xml:space="preserve">   847021</v>
      </c>
      <c r="B7958" t="str">
        <f>T("   Machines à calculer électroniques avec organe imprimant, raccordées au réseau (à l'excl. des machines automatiques de traitement de l'information du n° 8471)")</f>
        <v xml:space="preserve">   Machines à calculer électroniques avec organe imprimant, raccordées au réseau (à l'excl. des machines automatiques de traitement de l'information du n° 8471)</v>
      </c>
      <c r="C7958">
        <v>75000</v>
      </c>
      <c r="D7958">
        <v>30</v>
      </c>
    </row>
    <row r="7959" spans="1:4" x14ac:dyDescent="0.25">
      <c r="A7959" t="str">
        <f>T("   847110")</f>
        <v xml:space="preserve">   847110</v>
      </c>
      <c r="B7959" t="str">
        <f>T("   Machines automatiques de traitement de l'information, analogiques ou hybrides")</f>
        <v xml:space="preserve">   Machines automatiques de traitement de l'information, analogiques ou hybrides</v>
      </c>
      <c r="C7959">
        <v>16812000</v>
      </c>
      <c r="D7959">
        <v>7223</v>
      </c>
    </row>
    <row r="7960" spans="1:4" x14ac:dyDescent="0.25">
      <c r="A7960" t="str">
        <f>T("   847120")</f>
        <v xml:space="preserve">   847120</v>
      </c>
      <c r="B7960" t="str">
        <f>T("   MACHINES AUTOMATIQUES DE TRAITEMENT DE L'INFORMATION, NUMÉRIQUES, COMBINEES AVEC UNE UNITE D'ENTREE ET UNE UNITE DE SORTIE (À L'EXCL. DES UNITES PÉRIPHÉRIQUES)")</f>
        <v xml:space="preserve">   MACHINES AUTOMATIQUES DE TRAITEMENT DE L'INFORMATION, NUMÉRIQUES, COMBINEES AVEC UNE UNITE D'ENTREE ET UNE UNITE DE SORTIE (À L'EXCL. DES UNITES PÉRIPHÉRIQUES)</v>
      </c>
      <c r="C7960">
        <v>140000</v>
      </c>
      <c r="D7960">
        <v>20</v>
      </c>
    </row>
    <row r="7961" spans="1:4" x14ac:dyDescent="0.25">
      <c r="A7961" t="str">
        <f>T("   847141")</f>
        <v xml:space="preserve">   847141</v>
      </c>
      <c r="B7961" t="s">
        <v>434</v>
      </c>
      <c r="C7961">
        <v>200000</v>
      </c>
      <c r="D7961">
        <v>120</v>
      </c>
    </row>
    <row r="7962" spans="1:4" x14ac:dyDescent="0.25">
      <c r="A7962" t="str">
        <f>T("   847149")</f>
        <v xml:space="preserve">   847149</v>
      </c>
      <c r="B7962" t="s">
        <v>435</v>
      </c>
      <c r="C7962">
        <v>103054800</v>
      </c>
      <c r="D7962">
        <v>50556</v>
      </c>
    </row>
    <row r="7963" spans="1:4" x14ac:dyDescent="0.25">
      <c r="A7963" t="str">
        <f>T("   847190")</f>
        <v xml:space="preserve">   847190</v>
      </c>
      <c r="B796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963">
        <v>104595656</v>
      </c>
      <c r="D7963">
        <v>100677</v>
      </c>
    </row>
    <row r="7964" spans="1:4" x14ac:dyDescent="0.25">
      <c r="A7964" t="str">
        <f>T("   847321")</f>
        <v xml:space="preserve">   847321</v>
      </c>
      <c r="B7964" t="str">
        <f>T("   Parties et accessoires des machines à calculer électroniques du n° 8470.10, 8470.21 ou 8470.29, n.d.a.")</f>
        <v xml:space="preserve">   Parties et accessoires des machines à calculer électroniques du n° 8470.10, 8470.21 ou 8470.29, n.d.a.</v>
      </c>
      <c r="C7964">
        <v>80000</v>
      </c>
      <c r="D7964">
        <v>200</v>
      </c>
    </row>
    <row r="7965" spans="1:4" x14ac:dyDescent="0.25">
      <c r="A7965" t="str">
        <f>T("   847330")</f>
        <v xml:space="preserve">   847330</v>
      </c>
      <c r="B7965" t="str">
        <f>T("   Parties et accessoires pour machines automatiques de traitement de l'information ou pour autres machines du n° 8471, n.d.a.")</f>
        <v xml:space="preserve">   Parties et accessoires pour machines automatiques de traitement de l'information ou pour autres machines du n° 8471, n.d.a.</v>
      </c>
      <c r="C7965">
        <v>200000</v>
      </c>
      <c r="D7965">
        <v>200</v>
      </c>
    </row>
    <row r="7966" spans="1:4" x14ac:dyDescent="0.25">
      <c r="A7966" t="str">
        <f>T("   847431")</f>
        <v xml:space="preserve">   847431</v>
      </c>
      <c r="B7966"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7966">
        <v>500000</v>
      </c>
      <c r="D7966">
        <v>200</v>
      </c>
    </row>
    <row r="7967" spans="1:4" x14ac:dyDescent="0.25">
      <c r="A7967" t="str">
        <f>T("   847480")</f>
        <v xml:space="preserve">   847480</v>
      </c>
      <c r="B7967" t="s">
        <v>437</v>
      </c>
      <c r="C7967">
        <v>32000</v>
      </c>
      <c r="D7967">
        <v>20</v>
      </c>
    </row>
    <row r="7968" spans="1:4" x14ac:dyDescent="0.25">
      <c r="A7968" t="str">
        <f>T("   847720")</f>
        <v xml:space="preserve">   847720</v>
      </c>
      <c r="B7968" t="str">
        <f>T("   Extrudeuses pour le travail du caoutchouc ou des matières plastiques ou pour la fabrication de produits en ces matières")</f>
        <v xml:space="preserve">   Extrudeuses pour le travail du caoutchouc ou des matières plastiques ou pour la fabrication de produits en ces matières</v>
      </c>
      <c r="C7968">
        <v>2109888</v>
      </c>
      <c r="D7968">
        <v>6500</v>
      </c>
    </row>
    <row r="7969" spans="1:4" x14ac:dyDescent="0.25">
      <c r="A7969" t="str">
        <f>T("   848041")</f>
        <v xml:space="preserve">   848041</v>
      </c>
      <c r="B7969" t="str">
        <f>T("   Moules pour les métaux ou les carbures métalliques, pour le moulage par injection ou par compression (autres qu'en graphite ou autres formes de carbone, autres qu'en produits céramiques ou en verre)")</f>
        <v xml:space="preserve">   Moules pour les métaux ou les carbures métalliques, pour le moulage par injection ou par compression (autres qu'en graphite ou autres formes de carbone, autres qu'en produits céramiques ou en verre)</v>
      </c>
      <c r="C7969">
        <v>279000</v>
      </c>
      <c r="D7969">
        <v>580</v>
      </c>
    </row>
    <row r="7970" spans="1:4" x14ac:dyDescent="0.25">
      <c r="A7970" t="str">
        <f>T("   848180")</f>
        <v xml:space="preserve">   848180</v>
      </c>
      <c r="B7970"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7970">
        <v>5828694</v>
      </c>
      <c r="D7970">
        <v>5217</v>
      </c>
    </row>
    <row r="7971" spans="1:4" x14ac:dyDescent="0.25">
      <c r="A7971" t="str">
        <f>T("   848490")</f>
        <v xml:space="preserve">   848490</v>
      </c>
      <c r="B7971" t="str">
        <f>T("   Jeux ou assortiments de joints de composition différente présentés en pochettes, enveloppes ou emballages analogues")</f>
        <v xml:space="preserve">   Jeux ou assortiments de joints de composition différente présentés en pochettes, enveloppes ou emballages analogues</v>
      </c>
      <c r="C7971">
        <v>175000</v>
      </c>
      <c r="D7971">
        <v>700</v>
      </c>
    </row>
    <row r="7972" spans="1:4" x14ac:dyDescent="0.25">
      <c r="A7972" t="str">
        <f>T("   848590")</f>
        <v xml:space="preserve">   848590</v>
      </c>
      <c r="B7972" t="str">
        <f>T("   Parties de machines et appareils du chapitre 84, sans caractéristiques spéciales d'utilisation, n.d.a.")</f>
        <v xml:space="preserve">   Parties de machines et appareils du chapitre 84, sans caractéristiques spéciales d'utilisation, n.d.a.</v>
      </c>
      <c r="C7972">
        <v>525000</v>
      </c>
      <c r="D7972">
        <v>350</v>
      </c>
    </row>
    <row r="7973" spans="1:4" x14ac:dyDescent="0.25">
      <c r="A7973" t="str">
        <f>T("   850140")</f>
        <v xml:space="preserve">   850140</v>
      </c>
      <c r="B7973" t="str">
        <f>T("   Moteurs à courant alternatif, monophasés")</f>
        <v xml:space="preserve">   Moteurs à courant alternatif, monophasés</v>
      </c>
      <c r="C7973">
        <v>81648</v>
      </c>
      <c r="D7973">
        <v>30</v>
      </c>
    </row>
    <row r="7974" spans="1:4" x14ac:dyDescent="0.25">
      <c r="A7974" t="str">
        <f>T("   850161")</f>
        <v xml:space="preserve">   850161</v>
      </c>
      <c r="B7974" t="str">
        <f>T("   Alternateurs, puissance &lt;= 75 kVA")</f>
        <v xml:space="preserve">   Alternateurs, puissance &lt;= 75 kVA</v>
      </c>
      <c r="C7974">
        <v>2228978</v>
      </c>
      <c r="D7974">
        <v>600</v>
      </c>
    </row>
    <row r="7975" spans="1:4" x14ac:dyDescent="0.25">
      <c r="A7975" t="str">
        <f>T("   850211")</f>
        <v xml:space="preserve">   850211</v>
      </c>
      <c r="B7975" t="s">
        <v>444</v>
      </c>
      <c r="C7975">
        <v>11405600</v>
      </c>
      <c r="D7975">
        <v>7700</v>
      </c>
    </row>
    <row r="7976" spans="1:4" x14ac:dyDescent="0.25">
      <c r="A7976" t="str">
        <f>T("   850212")</f>
        <v xml:space="preserve">   850212</v>
      </c>
      <c r="B7976"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7976">
        <v>2396750</v>
      </c>
      <c r="D7976">
        <v>3500</v>
      </c>
    </row>
    <row r="7977" spans="1:4" x14ac:dyDescent="0.25">
      <c r="A7977" t="str">
        <f>T("   850220")</f>
        <v xml:space="preserve">   850220</v>
      </c>
      <c r="B7977" t="s">
        <v>446</v>
      </c>
      <c r="C7977">
        <v>241969724</v>
      </c>
      <c r="D7977">
        <v>227045</v>
      </c>
    </row>
    <row r="7978" spans="1:4" x14ac:dyDescent="0.25">
      <c r="A7978" t="str">
        <f>T("   850431")</f>
        <v xml:space="preserve">   850431</v>
      </c>
      <c r="B7978" t="str">
        <f>T("   Transformateurs à sec, puissance &lt;= 1 kVA")</f>
        <v xml:space="preserve">   Transformateurs à sec, puissance &lt;= 1 kVA</v>
      </c>
      <c r="C7978">
        <v>24324019</v>
      </c>
      <c r="D7978">
        <v>76615</v>
      </c>
    </row>
    <row r="7979" spans="1:4" x14ac:dyDescent="0.25">
      <c r="A7979" t="str">
        <f>T("   850690")</f>
        <v xml:space="preserve">   850690</v>
      </c>
      <c r="B7979" t="str">
        <f>T("   Parties de piles et batteries de piles électriques n.d.a.")</f>
        <v xml:space="preserve">   Parties de piles et batteries de piles électriques n.d.a.</v>
      </c>
      <c r="C7979">
        <v>564000</v>
      </c>
      <c r="D7979">
        <v>940</v>
      </c>
    </row>
    <row r="7980" spans="1:4" x14ac:dyDescent="0.25">
      <c r="A7980" t="str">
        <f>T("   850710")</f>
        <v xml:space="preserve">   850710</v>
      </c>
      <c r="B7980" t="str">
        <f>T("   Accumulateurs au plomb, pour le démarrage des moteurs à piston (sauf hors d'usage)")</f>
        <v xml:space="preserve">   Accumulateurs au plomb, pour le démarrage des moteurs à piston (sauf hors d'usage)</v>
      </c>
      <c r="C7980">
        <v>35484028</v>
      </c>
      <c r="D7980">
        <v>39168</v>
      </c>
    </row>
    <row r="7981" spans="1:4" x14ac:dyDescent="0.25">
      <c r="A7981" t="str">
        <f>T("   850720")</f>
        <v xml:space="preserve">   850720</v>
      </c>
      <c r="B7981" t="str">
        <f>T("   Accumulateurs au plomb (sauf hors d'usage et autres que pour le démarrage des moteurs à piston)")</f>
        <v xml:space="preserve">   Accumulateurs au plomb (sauf hors d'usage et autres que pour le démarrage des moteurs à piston)</v>
      </c>
      <c r="C7981">
        <v>196947</v>
      </c>
      <c r="D7981">
        <v>200</v>
      </c>
    </row>
    <row r="7982" spans="1:4" x14ac:dyDescent="0.25">
      <c r="A7982" t="str">
        <f>T("   850780")</f>
        <v xml:space="preserve">   850780</v>
      </c>
      <c r="B7982" t="str">
        <f>T("   Accumulateurs électriques (sauf hors d'usage et autres qu'au plomb, au nickel-cadmium ou au nickel-fer)")</f>
        <v xml:space="preserve">   Accumulateurs électriques (sauf hors d'usage et autres qu'au plomb, au nickel-cadmium ou au nickel-fer)</v>
      </c>
      <c r="C7982">
        <v>3237000</v>
      </c>
      <c r="D7982">
        <v>17135</v>
      </c>
    </row>
    <row r="7983" spans="1:4" x14ac:dyDescent="0.25">
      <c r="A7983" t="str">
        <f>T("   850940")</f>
        <v xml:space="preserve">   850940</v>
      </c>
      <c r="B7983"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7983">
        <v>48000</v>
      </c>
      <c r="D7983">
        <v>60</v>
      </c>
    </row>
    <row r="7984" spans="1:4" x14ac:dyDescent="0.25">
      <c r="A7984" t="str">
        <f>T("   851220")</f>
        <v xml:space="preserve">   851220</v>
      </c>
      <c r="B7984" t="str">
        <f>T("   Appareils électriques d'éclairage ou de signalisation visuelle, pour automobiles (à l'excl. des lampes du n° 8539)")</f>
        <v xml:space="preserve">   Appareils électriques d'éclairage ou de signalisation visuelle, pour automobiles (à l'excl. des lampes du n° 8539)</v>
      </c>
      <c r="C7984">
        <v>695000</v>
      </c>
      <c r="D7984">
        <v>290</v>
      </c>
    </row>
    <row r="7985" spans="1:4" x14ac:dyDescent="0.25">
      <c r="A7985" t="str">
        <f>T("   851310")</f>
        <v xml:space="preserve">   851310</v>
      </c>
      <c r="B7985" t="str">
        <f>T("   Lampes électriques portatives, destinées à fonctionner au moyen de leur propre source d'énergie")</f>
        <v xml:space="preserve">   Lampes électriques portatives, destinées à fonctionner au moyen de leur propre source d'énergie</v>
      </c>
      <c r="C7985">
        <v>27375</v>
      </c>
      <c r="D7985">
        <v>67</v>
      </c>
    </row>
    <row r="7986" spans="1:4" x14ac:dyDescent="0.25">
      <c r="A7986" t="str">
        <f>T("   851430")</f>
        <v xml:space="preserve">   851430</v>
      </c>
      <c r="B7986"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7986">
        <v>129600</v>
      </c>
      <c r="D7986">
        <v>400</v>
      </c>
    </row>
    <row r="7987" spans="1:4" x14ac:dyDescent="0.25">
      <c r="A7987" t="str">
        <f>T("   851610")</f>
        <v xml:space="preserve">   851610</v>
      </c>
      <c r="B7987" t="str">
        <f>T("   Chauffe-eau et thermoplongeurs électriques")</f>
        <v xml:space="preserve">   Chauffe-eau et thermoplongeurs électriques</v>
      </c>
      <c r="C7987">
        <v>130000</v>
      </c>
      <c r="D7987">
        <v>120</v>
      </c>
    </row>
    <row r="7988" spans="1:4" x14ac:dyDescent="0.25">
      <c r="A7988" t="str">
        <f>T("   851631")</f>
        <v xml:space="preserve">   851631</v>
      </c>
      <c r="B7988" t="str">
        <f>T("   Sèche-cheveux électriques")</f>
        <v xml:space="preserve">   Sèche-cheveux électriques</v>
      </c>
      <c r="C7988">
        <v>200000</v>
      </c>
      <c r="D7988">
        <v>490</v>
      </c>
    </row>
    <row r="7989" spans="1:4" x14ac:dyDescent="0.25">
      <c r="A7989" t="str">
        <f>T("   851640")</f>
        <v xml:space="preserve">   851640</v>
      </c>
      <c r="B7989" t="str">
        <f>T("   Fers à repasser électriques")</f>
        <v xml:space="preserve">   Fers à repasser électriques</v>
      </c>
      <c r="C7989">
        <v>114675</v>
      </c>
      <c r="D7989">
        <v>330</v>
      </c>
    </row>
    <row r="7990" spans="1:4" x14ac:dyDescent="0.25">
      <c r="A7990" t="str">
        <f>T("   851650")</f>
        <v xml:space="preserve">   851650</v>
      </c>
      <c r="B7990" t="str">
        <f>T("   Fours à micro-ondes")</f>
        <v xml:space="preserve">   Fours à micro-ondes</v>
      </c>
      <c r="C7990">
        <v>191280</v>
      </c>
      <c r="D7990">
        <v>400</v>
      </c>
    </row>
    <row r="7991" spans="1:4" x14ac:dyDescent="0.25">
      <c r="A7991" t="str">
        <f>T("   851679")</f>
        <v xml:space="preserve">   851679</v>
      </c>
      <c r="B7991" t="s">
        <v>451</v>
      </c>
      <c r="C7991">
        <v>25000</v>
      </c>
      <c r="D7991">
        <v>100</v>
      </c>
    </row>
    <row r="7992" spans="1:4" x14ac:dyDescent="0.25">
      <c r="A7992" t="str">
        <f>T("   851711")</f>
        <v xml:space="preserve">   851711</v>
      </c>
      <c r="B7992" t="str">
        <f>T("   Postes téléphoniques d'usagers pour la téléphonie par fil à combinés sans fil")</f>
        <v xml:space="preserve">   Postes téléphoniques d'usagers pour la téléphonie par fil à combinés sans fil</v>
      </c>
      <c r="C7992">
        <v>75000</v>
      </c>
      <c r="D7992">
        <v>50</v>
      </c>
    </row>
    <row r="7993" spans="1:4" x14ac:dyDescent="0.25">
      <c r="A7993" t="str">
        <f>T("   851719")</f>
        <v xml:space="preserve">   851719</v>
      </c>
      <c r="B7993"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7993">
        <v>32400</v>
      </c>
      <c r="D7993">
        <v>12</v>
      </c>
    </row>
    <row r="7994" spans="1:4" x14ac:dyDescent="0.25">
      <c r="A7994" t="str">
        <f>T("   851780")</f>
        <v xml:space="preserve">   851780</v>
      </c>
      <c r="B7994" t="s">
        <v>453</v>
      </c>
      <c r="C7994">
        <v>49915206</v>
      </c>
      <c r="D7994">
        <v>32040</v>
      </c>
    </row>
    <row r="7995" spans="1:4" x14ac:dyDescent="0.25">
      <c r="A7995" t="str">
        <f>T("   851790")</f>
        <v xml:space="preserve">   851790</v>
      </c>
      <c r="B7995" t="s">
        <v>454</v>
      </c>
      <c r="C7995">
        <v>330000</v>
      </c>
      <c r="D7995">
        <v>220</v>
      </c>
    </row>
    <row r="7996" spans="1:4" x14ac:dyDescent="0.25">
      <c r="A7996" t="str">
        <f>T("   851810")</f>
        <v xml:space="preserve">   851810</v>
      </c>
      <c r="B7996" t="str">
        <f>T("   Microphones et leurs supports (autres que sans fil, avec émetteur incorporé)")</f>
        <v xml:space="preserve">   Microphones et leurs supports (autres que sans fil, avec émetteur incorporé)</v>
      </c>
      <c r="C7996">
        <v>285000</v>
      </c>
      <c r="D7996">
        <v>180</v>
      </c>
    </row>
    <row r="7997" spans="1:4" x14ac:dyDescent="0.25">
      <c r="A7997" t="str">
        <f>T("   851821")</f>
        <v xml:space="preserve">   851821</v>
      </c>
      <c r="B7997" t="str">
        <f>T("   Haut-parleur unique monté dans son enceinte")</f>
        <v xml:space="preserve">   Haut-parleur unique monté dans son enceinte</v>
      </c>
      <c r="C7997">
        <v>882000</v>
      </c>
      <c r="D7997">
        <v>1690</v>
      </c>
    </row>
    <row r="7998" spans="1:4" x14ac:dyDescent="0.25">
      <c r="A7998" t="str">
        <f>T("   851822")</f>
        <v xml:space="preserve">   851822</v>
      </c>
      <c r="B7998" t="str">
        <f>T("   Haut-parleurs multiples montés dans la même enceinte")</f>
        <v xml:space="preserve">   Haut-parleurs multiples montés dans la même enceinte</v>
      </c>
      <c r="C7998">
        <v>60000</v>
      </c>
      <c r="D7998">
        <v>60</v>
      </c>
    </row>
    <row r="7999" spans="1:4" x14ac:dyDescent="0.25">
      <c r="A7999" t="str">
        <f>T("   851840")</f>
        <v xml:space="preserve">   851840</v>
      </c>
      <c r="B7999" t="str">
        <f>T("   Amplificateurs électriques d'audiofréquence")</f>
        <v xml:space="preserve">   Amplificateurs électriques d'audiofréquence</v>
      </c>
      <c r="C7999">
        <v>75000</v>
      </c>
      <c r="D7999">
        <v>100</v>
      </c>
    </row>
    <row r="8000" spans="1:4" x14ac:dyDescent="0.25">
      <c r="A8000" t="str">
        <f>T("   851850")</f>
        <v xml:space="preserve">   851850</v>
      </c>
      <c r="B8000" t="str">
        <f>T("   Appareils électriques d'amplification du son")</f>
        <v xml:space="preserve">   Appareils électriques d'amplification du son</v>
      </c>
      <c r="C8000">
        <v>550000</v>
      </c>
      <c r="D8000">
        <v>300</v>
      </c>
    </row>
    <row r="8001" spans="1:4" x14ac:dyDescent="0.25">
      <c r="A8001" t="str">
        <f>T("   851940")</f>
        <v xml:space="preserve">   851940</v>
      </c>
      <c r="B8001" t="str">
        <f>T("   Machines à dicter uniquement pour la reproduction du son")</f>
        <v xml:space="preserve">   Machines à dicter uniquement pour la reproduction du son</v>
      </c>
      <c r="C8001">
        <v>194400</v>
      </c>
      <c r="D8001">
        <v>100</v>
      </c>
    </row>
    <row r="8002" spans="1:4" x14ac:dyDescent="0.25">
      <c r="A8002" t="str">
        <f>T("   851999")</f>
        <v xml:space="preserve">   851999</v>
      </c>
      <c r="B8002"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8002">
        <v>250000</v>
      </c>
      <c r="D8002">
        <v>160</v>
      </c>
    </row>
    <row r="8003" spans="1:4" x14ac:dyDescent="0.25">
      <c r="A8003" t="str">
        <f>T("   852090")</f>
        <v xml:space="preserve">   852090</v>
      </c>
      <c r="B8003"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8003">
        <v>1721895</v>
      </c>
      <c r="D8003">
        <v>1250</v>
      </c>
    </row>
    <row r="8004" spans="1:4" x14ac:dyDescent="0.25">
      <c r="A8004" t="str">
        <f>T("   852290")</f>
        <v xml:space="preserve">   852290</v>
      </c>
      <c r="B8004" t="s">
        <v>458</v>
      </c>
      <c r="C8004">
        <v>26882300</v>
      </c>
      <c r="D8004">
        <v>38616</v>
      </c>
    </row>
    <row r="8005" spans="1:4" x14ac:dyDescent="0.25">
      <c r="A8005" t="str">
        <f>T("   852330")</f>
        <v xml:space="preserve">   852330</v>
      </c>
      <c r="B8005" t="str">
        <f>T("   Cartes munies d'une piste magnétique non enregistrée")</f>
        <v xml:space="preserve">   Cartes munies d'une piste magnétique non enregistrée</v>
      </c>
      <c r="C8005">
        <v>66079800</v>
      </c>
      <c r="D8005">
        <v>4625</v>
      </c>
    </row>
    <row r="8006" spans="1:4" x14ac:dyDescent="0.25">
      <c r="A8006" t="str">
        <f>T("   852432")</f>
        <v xml:space="preserve">   852432</v>
      </c>
      <c r="B8006" t="str">
        <f>T("   Disques enregistrés pour systèmes de lecture optique par faisceau laser, pour la reproduction du son uniquement")</f>
        <v xml:space="preserve">   Disques enregistrés pour systèmes de lecture optique par faisceau laser, pour la reproduction du son uniquement</v>
      </c>
      <c r="C8006">
        <v>4419250</v>
      </c>
      <c r="D8006">
        <v>3175</v>
      </c>
    </row>
    <row r="8007" spans="1:4" x14ac:dyDescent="0.25">
      <c r="A8007" t="str">
        <f>T("   852439")</f>
        <v xml:space="preserve">   852439</v>
      </c>
      <c r="B8007"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8007">
        <v>709560</v>
      </c>
      <c r="D8007">
        <v>2350</v>
      </c>
    </row>
    <row r="8008" spans="1:4" x14ac:dyDescent="0.25">
      <c r="A8008" t="str">
        <f>T("   852453")</f>
        <v xml:space="preserve">   852453</v>
      </c>
      <c r="B8008" t="str">
        <f>T("   Bandes magnétiques pour la reproduction du son ou l'image, enregistrées, largeur &gt; 6,5 mm")</f>
        <v xml:space="preserve">   Bandes magnétiques pour la reproduction du son ou l'image, enregistrées, largeur &gt; 6,5 mm</v>
      </c>
      <c r="C8008">
        <v>37500</v>
      </c>
      <c r="D8008">
        <v>50</v>
      </c>
    </row>
    <row r="8009" spans="1:4" x14ac:dyDescent="0.25">
      <c r="A8009" t="str">
        <f>T("   852460")</f>
        <v xml:space="preserve">   852460</v>
      </c>
      <c r="B8009" t="str">
        <f>T("   Cartes munies d'une piste magnétique enregistrée")</f>
        <v xml:space="preserve">   Cartes munies d'une piste magnétique enregistrée</v>
      </c>
      <c r="C8009">
        <v>513290</v>
      </c>
      <c r="D8009">
        <v>19</v>
      </c>
    </row>
    <row r="8010" spans="1:4" x14ac:dyDescent="0.25">
      <c r="A8010" t="str">
        <f>T("   852499")</f>
        <v xml:space="preserve">   852499</v>
      </c>
      <c r="B8010" t="s">
        <v>460</v>
      </c>
      <c r="C8010">
        <v>97200</v>
      </c>
      <c r="D8010">
        <v>500</v>
      </c>
    </row>
    <row r="8011" spans="1:4" x14ac:dyDescent="0.25">
      <c r="A8011" t="str">
        <f>T("   852510")</f>
        <v xml:space="preserve">   852510</v>
      </c>
      <c r="B8011" t="str">
        <f>T("   Appareils d'émission, pour la radiotéléphonie, la radiotélégraphie, la radiodiffusion ou la télévision")</f>
        <v xml:space="preserve">   Appareils d'émission, pour la radiotéléphonie, la radiotélégraphie, la radiodiffusion ou la télévision</v>
      </c>
      <c r="C8011">
        <v>156800</v>
      </c>
      <c r="D8011">
        <v>200</v>
      </c>
    </row>
    <row r="8012" spans="1:4" x14ac:dyDescent="0.25">
      <c r="A8012" t="str">
        <f>T("   852520")</f>
        <v xml:space="preserve">   852520</v>
      </c>
      <c r="B8012"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8012">
        <v>16219225</v>
      </c>
      <c r="D8012">
        <v>2875</v>
      </c>
    </row>
    <row r="8013" spans="1:4" x14ac:dyDescent="0.25">
      <c r="A8013" t="str">
        <f>T("   852713")</f>
        <v xml:space="preserve">   852713</v>
      </c>
      <c r="B8013"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8013">
        <v>130000</v>
      </c>
      <c r="D8013">
        <v>100</v>
      </c>
    </row>
    <row r="8014" spans="1:4" x14ac:dyDescent="0.25">
      <c r="A8014" t="str">
        <f>T("   852719")</f>
        <v xml:space="preserve">   852719</v>
      </c>
      <c r="B8014"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8014">
        <v>9999208</v>
      </c>
      <c r="D8014">
        <v>38095</v>
      </c>
    </row>
    <row r="8015" spans="1:4" x14ac:dyDescent="0.25">
      <c r="A8015" t="str">
        <f>T("   852812")</f>
        <v xml:space="preserve">   852812</v>
      </c>
      <c r="B801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015">
        <v>59199670</v>
      </c>
      <c r="D8015">
        <v>181520</v>
      </c>
    </row>
    <row r="8016" spans="1:4" x14ac:dyDescent="0.25">
      <c r="A8016" t="str">
        <f>T("   852830")</f>
        <v xml:space="preserve">   852830</v>
      </c>
      <c r="B8016" t="str">
        <f>T("   Projecteurs vidéo")</f>
        <v xml:space="preserve">   Projecteurs vidéo</v>
      </c>
      <c r="C8016">
        <v>100000</v>
      </c>
      <c r="D8016">
        <v>50</v>
      </c>
    </row>
    <row r="8017" spans="1:4" x14ac:dyDescent="0.25">
      <c r="A8017" t="str">
        <f>T("   852910")</f>
        <v xml:space="preserve">   852910</v>
      </c>
      <c r="B8017"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8017">
        <v>5277220</v>
      </c>
      <c r="D8017">
        <v>3790</v>
      </c>
    </row>
    <row r="8018" spans="1:4" x14ac:dyDescent="0.25">
      <c r="A8018" t="str">
        <f>T("   853620")</f>
        <v xml:space="preserve">   853620</v>
      </c>
      <c r="B8018" t="str">
        <f>T("   Disjoncteurs, pour une tension &lt;= 1.000 V")</f>
        <v xml:space="preserve">   Disjoncteurs, pour une tension &lt;= 1.000 V</v>
      </c>
      <c r="C8018">
        <v>7236623</v>
      </c>
      <c r="D8018">
        <v>200</v>
      </c>
    </row>
    <row r="8019" spans="1:4" x14ac:dyDescent="0.25">
      <c r="A8019" t="str">
        <f>T("   853649")</f>
        <v xml:space="preserve">   853649</v>
      </c>
      <c r="B8019" t="str">
        <f>T("   Relais, pour une tension &gt; 60 V mais &lt;= 1.000 V")</f>
        <v xml:space="preserve">   Relais, pour une tension &gt; 60 V mais &lt;= 1.000 V</v>
      </c>
      <c r="C8019">
        <v>171693519</v>
      </c>
      <c r="D8019">
        <v>157207</v>
      </c>
    </row>
    <row r="8020" spans="1:4" x14ac:dyDescent="0.25">
      <c r="A8020" t="str">
        <f>T("   853669")</f>
        <v xml:space="preserve">   853669</v>
      </c>
      <c r="B8020" t="str">
        <f>T("   Fiches et prises de courant, pour une tension &lt;= 1.000 V (sauf douilles pour lampes)")</f>
        <v xml:space="preserve">   Fiches et prises de courant, pour une tension &lt;= 1.000 V (sauf douilles pour lampes)</v>
      </c>
      <c r="C8020">
        <v>6002500</v>
      </c>
      <c r="D8020">
        <v>5763</v>
      </c>
    </row>
    <row r="8021" spans="1:4" x14ac:dyDescent="0.25">
      <c r="A8021" t="str">
        <f>T("   853690")</f>
        <v xml:space="preserve">   853690</v>
      </c>
      <c r="B8021" t="s">
        <v>467</v>
      </c>
      <c r="C8021">
        <v>51200</v>
      </c>
      <c r="D8021">
        <v>100</v>
      </c>
    </row>
    <row r="8022" spans="1:4" x14ac:dyDescent="0.25">
      <c r="A8022" t="str">
        <f>T("   853710")</f>
        <v xml:space="preserve">   853710</v>
      </c>
      <c r="B8022"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8022">
        <v>1360800</v>
      </c>
      <c r="D8022">
        <v>600</v>
      </c>
    </row>
    <row r="8023" spans="1:4" x14ac:dyDescent="0.25">
      <c r="A8023" t="str">
        <f>T("   853720")</f>
        <v xml:space="preserve">   853720</v>
      </c>
      <c r="B8023"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8023">
        <v>27338288</v>
      </c>
      <c r="D8023">
        <v>144800</v>
      </c>
    </row>
    <row r="8024" spans="1:4" x14ac:dyDescent="0.25">
      <c r="A8024" t="str">
        <f>T("   853929")</f>
        <v xml:space="preserve">   853929</v>
      </c>
      <c r="B8024"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8024">
        <v>166125</v>
      </c>
      <c r="D8024">
        <v>590</v>
      </c>
    </row>
    <row r="8025" spans="1:4" x14ac:dyDescent="0.25">
      <c r="A8025" t="str">
        <f>T("   853931")</f>
        <v xml:space="preserve">   853931</v>
      </c>
      <c r="B8025" t="str">
        <f>T("   Lampes et tubes à décharge, fluorescents, à cathode chaude")</f>
        <v xml:space="preserve">   Lampes et tubes à décharge, fluorescents, à cathode chaude</v>
      </c>
      <c r="C8025">
        <v>143387996</v>
      </c>
      <c r="D8025">
        <v>138995</v>
      </c>
    </row>
    <row r="8026" spans="1:4" x14ac:dyDescent="0.25">
      <c r="A8026" t="str">
        <f>T("   854420")</f>
        <v xml:space="preserve">   854420</v>
      </c>
      <c r="B8026" t="str">
        <f>T("   Câbles coaxiaux et autres conducteurs électriques coaxiaux, isolés")</f>
        <v xml:space="preserve">   Câbles coaxiaux et autres conducteurs électriques coaxiaux, isolés</v>
      </c>
      <c r="C8026">
        <v>3136451</v>
      </c>
      <c r="D8026">
        <v>3597</v>
      </c>
    </row>
    <row r="8027" spans="1:4" x14ac:dyDescent="0.25">
      <c r="A8027" t="str">
        <f>T("   870120")</f>
        <v xml:space="preserve">   870120</v>
      </c>
      <c r="B8027" t="str">
        <f>T("   Tracteurs routiers pour semi-remorques")</f>
        <v xml:space="preserve">   Tracteurs routiers pour semi-remorques</v>
      </c>
      <c r="C8027">
        <v>3289157</v>
      </c>
      <c r="D8027">
        <v>11619</v>
      </c>
    </row>
    <row r="8028" spans="1:4" x14ac:dyDescent="0.25">
      <c r="A8028" t="str">
        <f>T("   870290")</f>
        <v xml:space="preserve">   870290</v>
      </c>
      <c r="B8028" t="s">
        <v>470</v>
      </c>
      <c r="C8028">
        <v>251424000</v>
      </c>
      <c r="D8028">
        <v>16000</v>
      </c>
    </row>
    <row r="8029" spans="1:4" x14ac:dyDescent="0.25">
      <c r="A8029" t="str">
        <f>T("   870322")</f>
        <v xml:space="preserve">   870322</v>
      </c>
      <c r="B8029" t="s">
        <v>472</v>
      </c>
      <c r="C8029">
        <v>8614854</v>
      </c>
      <c r="D8029">
        <v>10185</v>
      </c>
    </row>
    <row r="8030" spans="1:4" x14ac:dyDescent="0.25">
      <c r="A8030" t="str">
        <f>T("   870323")</f>
        <v xml:space="preserve">   870323</v>
      </c>
      <c r="B8030" t="s">
        <v>473</v>
      </c>
      <c r="C8030">
        <v>18018203</v>
      </c>
      <c r="D8030">
        <v>5000</v>
      </c>
    </row>
    <row r="8031" spans="1:4" x14ac:dyDescent="0.25">
      <c r="A8031" t="str">
        <f>T("   870333")</f>
        <v xml:space="preserve">   870333</v>
      </c>
      <c r="B8031" t="s">
        <v>477</v>
      </c>
      <c r="C8031">
        <v>2400000</v>
      </c>
      <c r="D8031">
        <v>2900</v>
      </c>
    </row>
    <row r="8032" spans="1:4" x14ac:dyDescent="0.25">
      <c r="A8032" t="str">
        <f>T("   870421")</f>
        <v xml:space="preserve">   870421</v>
      </c>
      <c r="B8032" t="s">
        <v>478</v>
      </c>
      <c r="C8032">
        <v>21478914</v>
      </c>
      <c r="D8032">
        <v>15620</v>
      </c>
    </row>
    <row r="8033" spans="1:4" x14ac:dyDescent="0.25">
      <c r="A8033" t="str">
        <f>T("   870422")</f>
        <v xml:space="preserve">   870422</v>
      </c>
      <c r="B8033" t="s">
        <v>479</v>
      </c>
      <c r="C8033">
        <v>6079035</v>
      </c>
      <c r="D8033">
        <v>43600</v>
      </c>
    </row>
    <row r="8034" spans="1:4" x14ac:dyDescent="0.25">
      <c r="A8034" t="str">
        <f>T("   870530")</f>
        <v xml:space="preserve">   870530</v>
      </c>
      <c r="B8034" t="str">
        <f>T("   Voitures de lutte contre l'incendie (sauf véhicules affectés principalement au transport des sapeurs-pompiers)")</f>
        <v xml:space="preserve">   Voitures de lutte contre l'incendie (sauf véhicules affectés principalement au transport des sapeurs-pompiers)</v>
      </c>
      <c r="C8034">
        <v>15201200</v>
      </c>
      <c r="D8034">
        <v>9000</v>
      </c>
    </row>
    <row r="8035" spans="1:4" x14ac:dyDescent="0.25">
      <c r="A8035" t="str">
        <f>T("   870590")</f>
        <v xml:space="preserve">   870590</v>
      </c>
      <c r="B8035" t="s">
        <v>483</v>
      </c>
      <c r="C8035">
        <v>336000</v>
      </c>
      <c r="D8035">
        <v>210</v>
      </c>
    </row>
    <row r="8036" spans="1:4" x14ac:dyDescent="0.25">
      <c r="A8036" t="str">
        <f>T("   870790")</f>
        <v xml:space="preserve">   870790</v>
      </c>
      <c r="B8036" t="str">
        <f>T("   CARROSSERIES DE TRACTEURS, VÉHICULES POUR LE TRANSPORT DE &gt;= 10 PERSONNES, CHAUFFEUR INCLUS, VÉHICULES POUR LE TRANSPORT DE MARCHANDISES ET VÉHICULES À USAGES SPÉCIAUX")</f>
        <v xml:space="preserve">   CARROSSERIES DE TRACTEURS, VÉHICULES POUR LE TRANSPORT DE &gt;= 10 PERSONNES, CHAUFFEUR INCLUS, VÉHICULES POUR LE TRANSPORT DE MARCHANDISES ET VÉHICULES À USAGES SPÉCIAUX</v>
      </c>
      <c r="C8036">
        <v>163000</v>
      </c>
      <c r="D8036">
        <v>150</v>
      </c>
    </row>
    <row r="8037" spans="1:4" x14ac:dyDescent="0.25">
      <c r="A8037" t="str">
        <f>T("   870810")</f>
        <v xml:space="preserve">   870810</v>
      </c>
      <c r="B8037"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8037">
        <v>1237000</v>
      </c>
      <c r="D8037">
        <v>820</v>
      </c>
    </row>
    <row r="8038" spans="1:4" x14ac:dyDescent="0.25">
      <c r="A8038" t="str">
        <f>T("   870829")</f>
        <v xml:space="preserve">   870829</v>
      </c>
      <c r="B8038" t="s">
        <v>485</v>
      </c>
      <c r="C8038">
        <v>30000</v>
      </c>
      <c r="D8038">
        <v>50</v>
      </c>
    </row>
    <row r="8039" spans="1:4" x14ac:dyDescent="0.25">
      <c r="A8039" t="str">
        <f>T("   870840")</f>
        <v xml:space="preserve">   870840</v>
      </c>
      <c r="B8039"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8039">
        <v>22000</v>
      </c>
      <c r="D8039">
        <v>50</v>
      </c>
    </row>
    <row r="8040" spans="1:4" x14ac:dyDescent="0.25">
      <c r="A8040" t="str">
        <f>T("   870850")</f>
        <v xml:space="preserve">   870850</v>
      </c>
      <c r="B8040" t="s">
        <v>486</v>
      </c>
      <c r="C8040">
        <v>60000</v>
      </c>
      <c r="D8040">
        <v>100</v>
      </c>
    </row>
    <row r="8041" spans="1:4" x14ac:dyDescent="0.25">
      <c r="A8041" t="str">
        <f>T("   870860")</f>
        <v xml:space="preserve">   870860</v>
      </c>
      <c r="B8041" t="str">
        <f>T("   ESSIEUX PORTEURS ET LEURS PARTIES, POUR TRACTEURS, VÉHICULES POUR LE TRANSPORT DE &gt;= 10 PERSONNES, CHAUFFEUR INCLUS, VOITURES DE TOURISME, VÉHICULES POUR LE TRANSPORT DE MARCHANDISES ET VÉHICULES À USAGES SPÉCIAUX N.D.A.")</f>
        <v xml:space="preserve">   ESSIEUX PORTEURS ET LEURS PARTIES, POUR TRACTEURS, VÉHICULES POUR LE TRANSPORT DE &gt;= 10 PERSONNES, CHAUFFEUR INCLUS, VOITURES DE TOURISME, VÉHICULES POUR LE TRANSPORT DE MARCHANDISES ET VÉHICULES À USAGES SPÉCIAUX N.D.A.</v>
      </c>
      <c r="C8041">
        <v>199680</v>
      </c>
      <c r="D8041">
        <v>170</v>
      </c>
    </row>
    <row r="8042" spans="1:4" x14ac:dyDescent="0.25">
      <c r="A8042" t="str">
        <f>T("   870870")</f>
        <v xml:space="preserve">   870870</v>
      </c>
      <c r="B8042"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8042">
        <v>378400</v>
      </c>
      <c r="D8042">
        <v>960</v>
      </c>
    </row>
    <row r="8043" spans="1:4" x14ac:dyDescent="0.25">
      <c r="A8043" t="str">
        <f>T("   870880")</f>
        <v xml:space="preserve">   870880</v>
      </c>
      <c r="B8043" t="s">
        <v>487</v>
      </c>
      <c r="C8043">
        <v>844000</v>
      </c>
      <c r="D8043">
        <v>1040</v>
      </c>
    </row>
    <row r="8044" spans="1:4" x14ac:dyDescent="0.25">
      <c r="A8044" t="str">
        <f>T("   870899")</f>
        <v xml:space="preserve">   870899</v>
      </c>
      <c r="B804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044">
        <v>270796942</v>
      </c>
      <c r="D8044">
        <v>199247</v>
      </c>
    </row>
    <row r="8045" spans="1:4" x14ac:dyDescent="0.25">
      <c r="A8045" t="str">
        <f>T("   871120")</f>
        <v xml:space="preserve">   871120</v>
      </c>
      <c r="B8045" t="str">
        <f>T("   Motocycles à moteur à piston alternatif, cylindrée &gt; 50 cm³ mais &lt;= 250 cm³")</f>
        <v xml:space="preserve">   Motocycles à moteur à piston alternatif, cylindrée &gt; 50 cm³ mais &lt;= 250 cm³</v>
      </c>
      <c r="C8045">
        <v>1648060000</v>
      </c>
      <c r="D8045">
        <v>885645</v>
      </c>
    </row>
    <row r="8046" spans="1:4" x14ac:dyDescent="0.25">
      <c r="A8046" t="str">
        <f>T("   871130")</f>
        <v xml:space="preserve">   871130</v>
      </c>
      <c r="B8046" t="str">
        <f>T("   Motocycles à moteur à piston alternatif, cylindrée &gt; 250 cm³ mais &lt;= 500 cm³")</f>
        <v xml:space="preserve">   Motocycles à moteur à piston alternatif, cylindrée &gt; 250 cm³ mais &lt;= 500 cm³</v>
      </c>
      <c r="C8046">
        <v>500000</v>
      </c>
      <c r="D8046">
        <v>100</v>
      </c>
    </row>
    <row r="8047" spans="1:4" x14ac:dyDescent="0.25">
      <c r="A8047" t="str">
        <f>T("   871200")</f>
        <v xml:space="preserve">   871200</v>
      </c>
      <c r="B8047" t="str">
        <f>T("   BICYCLETTES ET AUTRES CYCLES, -Y.C. LES TRIPORTEURS-, SANS MOTEUR")</f>
        <v xml:space="preserve">   BICYCLETTES ET AUTRES CYCLES, -Y.C. LES TRIPORTEURS-, SANS MOTEUR</v>
      </c>
      <c r="C8047">
        <v>2374500</v>
      </c>
      <c r="D8047">
        <v>2290</v>
      </c>
    </row>
    <row r="8048" spans="1:4" x14ac:dyDescent="0.25">
      <c r="A8048" t="str">
        <f>T("   871310")</f>
        <v xml:space="preserve">   871310</v>
      </c>
      <c r="B8048" t="str">
        <f>T("   Fauteuils roulants et autres véhicules pour invalides (sans mécanisme de propulsion)")</f>
        <v xml:space="preserve">   Fauteuils roulants et autres véhicules pour invalides (sans mécanisme de propulsion)</v>
      </c>
      <c r="C8048">
        <v>64800</v>
      </c>
      <c r="D8048">
        <v>200</v>
      </c>
    </row>
    <row r="8049" spans="1:4" x14ac:dyDescent="0.25">
      <c r="A8049" t="str">
        <f>T("   871419")</f>
        <v xml:space="preserve">   871419</v>
      </c>
      <c r="B8049" t="str">
        <f>T("   Parties et accessoires de motocycles, y.c. de cyclomoteurs, n.d.a.")</f>
        <v xml:space="preserve">   Parties et accessoires de motocycles, y.c. de cyclomoteurs, n.d.a.</v>
      </c>
      <c r="C8049">
        <v>199685591</v>
      </c>
      <c r="D8049">
        <v>442013</v>
      </c>
    </row>
    <row r="8050" spans="1:4" x14ac:dyDescent="0.25">
      <c r="A8050" t="str">
        <f>T("   871492")</f>
        <v xml:space="preserve">   871492</v>
      </c>
      <c r="B8050" t="str">
        <f>T("   Jantes et rayons, de bicyclettes")</f>
        <v xml:space="preserve">   Jantes et rayons, de bicyclettes</v>
      </c>
      <c r="C8050">
        <v>670909</v>
      </c>
      <c r="D8050">
        <v>800</v>
      </c>
    </row>
    <row r="8051" spans="1:4" x14ac:dyDescent="0.25">
      <c r="A8051" t="str">
        <f>T("   871499")</f>
        <v xml:space="preserve">   871499</v>
      </c>
      <c r="B8051" t="str">
        <f>T("   Parties et accessoires, de bicyclettes, n.d.a.")</f>
        <v xml:space="preserve">   Parties et accessoires, de bicyclettes, n.d.a.</v>
      </c>
      <c r="C8051">
        <v>385019</v>
      </c>
      <c r="D8051">
        <v>540</v>
      </c>
    </row>
    <row r="8052" spans="1:4" x14ac:dyDescent="0.25">
      <c r="A8052" t="str">
        <f>T("   871500")</f>
        <v xml:space="preserve">   871500</v>
      </c>
      <c r="B8052" t="str">
        <f>T("   Landaus, poussettes et voitures simil., pour le transport des enfants, et leurs parties, n.d.a.")</f>
        <v xml:space="preserve">   Landaus, poussettes et voitures simil., pour le transport des enfants, et leurs parties, n.d.a.</v>
      </c>
      <c r="C8052">
        <v>50000</v>
      </c>
      <c r="D8052">
        <v>20</v>
      </c>
    </row>
    <row r="8053" spans="1:4" x14ac:dyDescent="0.25">
      <c r="A8053" t="str">
        <f>T("   871631")</f>
        <v xml:space="preserve">   871631</v>
      </c>
      <c r="B8053" t="str">
        <f>T("   Remorques-citernes ne circulant pas sur rails")</f>
        <v xml:space="preserve">   Remorques-citernes ne circulant pas sur rails</v>
      </c>
      <c r="C8053">
        <v>1200000</v>
      </c>
      <c r="D8053">
        <v>7500</v>
      </c>
    </row>
    <row r="8054" spans="1:4" x14ac:dyDescent="0.25">
      <c r="A8054" t="str">
        <f>T("   871640")</f>
        <v xml:space="preserve">   871640</v>
      </c>
      <c r="B805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054">
        <v>1609745</v>
      </c>
      <c r="D8054">
        <v>7000</v>
      </c>
    </row>
    <row r="8055" spans="1:4" x14ac:dyDescent="0.25">
      <c r="A8055" t="str">
        <f>T("   880110")</f>
        <v xml:space="preserve">   880110</v>
      </c>
      <c r="B8055" t="str">
        <f>T("   PLANEURS ET AILES VOLANTES")</f>
        <v xml:space="preserve">   PLANEURS ET AILES VOLANTES</v>
      </c>
      <c r="C8055">
        <v>197200</v>
      </c>
      <c r="D8055">
        <v>340</v>
      </c>
    </row>
    <row r="8056" spans="1:4" x14ac:dyDescent="0.25">
      <c r="A8056" t="str">
        <f>T("   900410")</f>
        <v xml:space="preserve">   900410</v>
      </c>
      <c r="B8056" t="str">
        <f>T("   Lunettes solaires")</f>
        <v xml:space="preserve">   Lunettes solaires</v>
      </c>
      <c r="C8056">
        <v>953600</v>
      </c>
      <c r="D8056">
        <v>1192</v>
      </c>
    </row>
    <row r="8057" spans="1:4" x14ac:dyDescent="0.25">
      <c r="A8057" t="str">
        <f>T("   900921")</f>
        <v xml:space="preserve">   900921</v>
      </c>
      <c r="B8057" t="str">
        <f>T("   Appareils de photocopie à système optique (autres qu'électrostatiques)")</f>
        <v xml:space="preserve">   Appareils de photocopie à système optique (autres qu'électrostatiques)</v>
      </c>
      <c r="C8057">
        <v>5900800</v>
      </c>
      <c r="D8057">
        <v>7250</v>
      </c>
    </row>
    <row r="8058" spans="1:4" x14ac:dyDescent="0.25">
      <c r="A8058" t="str">
        <f>T("   901050")</f>
        <v xml:space="preserve">   901050</v>
      </c>
      <c r="B8058" t="str">
        <f>T("   Appareils et matériel pour laboratoires photographiques ou cinématographiques, n.d.a.; négatoscopes")</f>
        <v xml:space="preserve">   Appareils et matériel pour laboratoires photographiques ou cinématographiques, n.d.a.; négatoscopes</v>
      </c>
      <c r="C8058">
        <v>224000</v>
      </c>
      <c r="D8058">
        <v>118</v>
      </c>
    </row>
    <row r="8059" spans="1:4" x14ac:dyDescent="0.25">
      <c r="A8059" t="str">
        <f>T("   901600")</f>
        <v xml:space="preserve">   901600</v>
      </c>
      <c r="B8059" t="str">
        <f>T("   Balances sensibles à un poids de 5 cg ou moins, avec ou sans poids")</f>
        <v xml:space="preserve">   Balances sensibles à un poids de 5 cg ou moins, avec ou sans poids</v>
      </c>
      <c r="C8059">
        <v>33696</v>
      </c>
      <c r="D8059">
        <v>220</v>
      </c>
    </row>
    <row r="8060" spans="1:4" x14ac:dyDescent="0.25">
      <c r="A8060" t="str">
        <f>T("   901812")</f>
        <v xml:space="preserve">   901812</v>
      </c>
      <c r="B8060" t="str">
        <f>T("   Appareils de diagnostic par balayage ultrasonique [scanners]")</f>
        <v xml:space="preserve">   Appareils de diagnostic par balayage ultrasonique [scanners]</v>
      </c>
      <c r="C8060">
        <v>100000</v>
      </c>
      <c r="D8060">
        <v>100</v>
      </c>
    </row>
    <row r="8061" spans="1:4" x14ac:dyDescent="0.25">
      <c r="A8061" t="str">
        <f>T("   901890")</f>
        <v xml:space="preserve">   901890</v>
      </c>
      <c r="B8061" t="str">
        <f>T("   Instruments et appareils pour la médecine, la chirurgie ou l'art vétérinaire, n.d.a.")</f>
        <v xml:space="preserve">   Instruments et appareils pour la médecine, la chirurgie ou l'art vétérinaire, n.d.a.</v>
      </c>
      <c r="C8061">
        <v>6833194</v>
      </c>
      <c r="D8061">
        <v>1500</v>
      </c>
    </row>
    <row r="8062" spans="1:4" x14ac:dyDescent="0.25">
      <c r="A8062" t="str">
        <f>T("   902000")</f>
        <v xml:space="preserve">   902000</v>
      </c>
      <c r="B8062" t="str">
        <f>T("   APPAREILS RESPIRATOIRES ET MASQUES À GAZ (À L'EXCL. DES MASQUES DE PROTECTION DÉPOURVUS DE MÉCANISME ET D'ÉLÉMENT FILTRANT AMOVIBLE AINSI QUE DES APPAREILS DE RESPIRATOIRES DE RÉANIMATION ET AUTRES APPAREILS DE THERAPIE RESPIRATOIRE)")</f>
        <v xml:space="preserve">   APPAREILS RESPIRATOIRES ET MASQUES À GAZ (À L'EXCL. DES MASQUES DE PROTECTION DÉPOURVUS DE MÉCANISME ET D'ÉLÉMENT FILTRANT AMOVIBLE AINSI QUE DES APPAREILS DE RESPIRATOIRES DE RÉANIMATION ET AUTRES APPAREILS DE THERAPIE RESPIRATOIRE)</v>
      </c>
      <c r="C8062">
        <v>40000</v>
      </c>
      <c r="D8062">
        <v>50</v>
      </c>
    </row>
    <row r="8063" spans="1:4" x14ac:dyDescent="0.25">
      <c r="A8063" t="str">
        <f>T("   902290")</f>
        <v xml:space="preserve">   902290</v>
      </c>
      <c r="B8063" t="s">
        <v>496</v>
      </c>
      <c r="C8063">
        <v>350000</v>
      </c>
      <c r="D8063">
        <v>150</v>
      </c>
    </row>
    <row r="8064" spans="1:4" x14ac:dyDescent="0.25">
      <c r="A8064" t="str">
        <f>T("   902519")</f>
        <v xml:space="preserve">   902519</v>
      </c>
      <c r="B8064"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8064">
        <v>64800</v>
      </c>
      <c r="D8064">
        <v>20</v>
      </c>
    </row>
    <row r="8065" spans="1:4" x14ac:dyDescent="0.25">
      <c r="A8065" t="str">
        <f>T("   902610")</f>
        <v xml:space="preserve">   902610</v>
      </c>
      <c r="B8065"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8065">
        <v>187500</v>
      </c>
      <c r="D8065">
        <v>200</v>
      </c>
    </row>
    <row r="8066" spans="1:4" x14ac:dyDescent="0.25">
      <c r="A8066" t="str">
        <f>T("   902680")</f>
        <v xml:space="preserve">   902680</v>
      </c>
      <c r="B8066" t="str">
        <f>T("   Instruments et appareils pour la mesure et le contrôle des caractéristiques variables des liquides ou des gaz, n.d.a.")</f>
        <v xml:space="preserve">   Instruments et appareils pour la mesure et le contrôle des caractéristiques variables des liquides ou des gaz, n.d.a.</v>
      </c>
      <c r="C8066">
        <v>2526104</v>
      </c>
      <c r="D8066">
        <v>50</v>
      </c>
    </row>
    <row r="8067" spans="1:4" x14ac:dyDescent="0.25">
      <c r="A8067" t="str">
        <f>T("   902830")</f>
        <v xml:space="preserve">   902830</v>
      </c>
      <c r="B8067" t="str">
        <f>T("   Compteurs d'électricité, y.c. les compteurs pour leur étalonnage")</f>
        <v xml:space="preserve">   Compteurs d'électricité, y.c. les compteurs pour leur étalonnage</v>
      </c>
      <c r="C8067">
        <v>89100000</v>
      </c>
      <c r="D8067">
        <v>930</v>
      </c>
    </row>
    <row r="8068" spans="1:4" x14ac:dyDescent="0.25">
      <c r="A8068" t="str">
        <f>T("   903020")</f>
        <v xml:space="preserve">   903020</v>
      </c>
      <c r="B8068" t="str">
        <f>T("   OSCILLOSCOPES ET OSCILLOGRAPHES")</f>
        <v xml:space="preserve">   OSCILLOSCOPES ET OSCILLOGRAPHES</v>
      </c>
      <c r="C8068">
        <v>300000</v>
      </c>
      <c r="D8068">
        <v>150</v>
      </c>
    </row>
    <row r="8069" spans="1:4" x14ac:dyDescent="0.25">
      <c r="A8069" t="str">
        <f>T("   910212")</f>
        <v xml:space="preserve">   910212</v>
      </c>
      <c r="B8069" t="str">
        <f>T("   Montres-bracelets, même incorporant un compteur de temps, fonctionnant électriquement, à affichage optoélectronique seulement (autres que celles en métaux précieux ou en plaqués ou doublés de métaux précieux)")</f>
        <v xml:space="preserve">   Montres-bracelets, même incorporant un compteur de temps, fonctionnant électriquement, à affichage optoélectronique seulement (autres que celles en métaux précieux ou en plaqués ou doublés de métaux précieux)</v>
      </c>
      <c r="C8069">
        <v>8720100</v>
      </c>
      <c r="D8069">
        <v>11120</v>
      </c>
    </row>
    <row r="8070" spans="1:4" x14ac:dyDescent="0.25">
      <c r="A8070" t="str">
        <f>T("   910521")</f>
        <v xml:space="preserve">   910521</v>
      </c>
      <c r="B8070" t="str">
        <f>T("   PENDULES ET HORLOGES, MURALES, FONCTIONNANT ÉLECTRIQUEMENT [01/01/1988-31/12/1994: PENDULES ET HORLOGES MURALES, A PILE OU A ACCUMULATEUR OU FONCTIONNANT SUR SECTEUR]")</f>
        <v xml:space="preserve">   PENDULES ET HORLOGES, MURALES, FONCTIONNANT ÉLECTRIQUEMENT [01/01/1988-31/12/1994: PENDULES ET HORLOGES MURALES, A PILE OU A ACCUMULATEUR OU FONCTIONNANT SUR SECTEUR]</v>
      </c>
      <c r="C8070">
        <v>3708000</v>
      </c>
      <c r="D8070">
        <v>3735</v>
      </c>
    </row>
    <row r="8071" spans="1:4" x14ac:dyDescent="0.25">
      <c r="A8071" t="str">
        <f>T("   920110")</f>
        <v xml:space="preserve">   920110</v>
      </c>
      <c r="B8071" t="str">
        <f>T("   Pianos droits")</f>
        <v xml:space="preserve">   Pianos droits</v>
      </c>
      <c r="C8071">
        <v>80000</v>
      </c>
      <c r="D8071">
        <v>100</v>
      </c>
    </row>
    <row r="8072" spans="1:4" x14ac:dyDescent="0.25">
      <c r="A8072" t="str">
        <f>T("   920210")</f>
        <v xml:space="preserve">   920210</v>
      </c>
      <c r="B8072" t="str">
        <f>T("   VIOLONS ET AUTRES INSTRUMENTS À CORDES FROTTÉES À L'AIDE D'UN ARCHET [01/01/1988-31/12/1988: INSTRUMENTS DE MUSIQUE A CORDES FROTTEES, A L'AIDE D'UN ARCHET, VIOLONS, PAR EXEMPLE]")</f>
        <v xml:space="preserve">   VIOLONS ET AUTRES INSTRUMENTS À CORDES FROTTÉES À L'AIDE D'UN ARCHET [01/01/1988-31/12/1988: INSTRUMENTS DE MUSIQUE A CORDES FROTTEES, A L'AIDE D'UN ARCHET, VIOLONS, PAR EXEMPLE]</v>
      </c>
      <c r="C8072">
        <v>38000</v>
      </c>
      <c r="D8072">
        <v>70</v>
      </c>
    </row>
    <row r="8073" spans="1:4" x14ac:dyDescent="0.25">
      <c r="A8073" t="str">
        <f>T("   920600")</f>
        <v xml:space="preserve">   920600</v>
      </c>
      <c r="B8073" t="str">
        <f>T("   INSTRUMENTS DE MUSIQUE À PERCUSSION, P.EX. TAMBOURS, CAISSES, XYLOPHONES, CYMBALES, CASTAGNETTES, MARACAS [01/01/1988-31/12/1994: TAMBOURS, CAISSES, XYLOPHONES, CYMBALES, CASTAGNETTES, MARACAS ET AUTRES INSTRUMENTS DE MUSIQUE A PERCUSSION]")</f>
        <v xml:space="preserve">   INSTRUMENTS DE MUSIQUE À PERCUSSION, P.EX. TAMBOURS, CAISSES, XYLOPHONES, CYMBALES, CASTAGNETTES, MARACAS [01/01/1988-31/12/1994: TAMBOURS, CAISSES, XYLOPHONES, CYMBALES, CASTAGNETTES, MARACAS ET AUTRES INSTRUMENTS DE MUSIQUE A PERCUSSION]</v>
      </c>
      <c r="C8073">
        <v>1400000</v>
      </c>
      <c r="D8073">
        <v>770</v>
      </c>
    </row>
    <row r="8074" spans="1:4" x14ac:dyDescent="0.25">
      <c r="A8074" t="str">
        <f>T("   940110")</f>
        <v xml:space="preserve">   940110</v>
      </c>
      <c r="B8074" t="str">
        <f>T("   Sièges pour véhicules aériens")</f>
        <v xml:space="preserve">   Sièges pour véhicules aériens</v>
      </c>
      <c r="C8074">
        <v>244000</v>
      </c>
      <c r="D8074">
        <v>700</v>
      </c>
    </row>
    <row r="8075" spans="1:4" x14ac:dyDescent="0.25">
      <c r="A8075" t="str">
        <f>T("   940130")</f>
        <v xml:space="preserve">   940130</v>
      </c>
      <c r="B8075"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8075">
        <v>4910971</v>
      </c>
      <c r="D8075">
        <v>1895</v>
      </c>
    </row>
    <row r="8076" spans="1:4" x14ac:dyDescent="0.25">
      <c r="A8076" t="str">
        <f>T("   940161")</f>
        <v xml:space="preserve">   940161</v>
      </c>
      <c r="B8076" t="str">
        <f>T("   Sièges, avec bâti en bois, rembourrés (non transformables en lits)")</f>
        <v xml:space="preserve">   Sièges, avec bâti en bois, rembourrés (non transformables en lits)</v>
      </c>
      <c r="C8076">
        <v>442056094</v>
      </c>
      <c r="D8076">
        <v>129140</v>
      </c>
    </row>
    <row r="8077" spans="1:4" x14ac:dyDescent="0.25">
      <c r="A8077" t="str">
        <f>T("   940179")</f>
        <v xml:space="preserve">   940179</v>
      </c>
      <c r="B8077"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8077">
        <v>21699491</v>
      </c>
      <c r="D8077">
        <v>2850</v>
      </c>
    </row>
    <row r="8078" spans="1:4" x14ac:dyDescent="0.25">
      <c r="A8078" t="str">
        <f>T("   940180")</f>
        <v xml:space="preserve">   940180</v>
      </c>
      <c r="B8078" t="str">
        <f>T("   Sièges, n.d.a.")</f>
        <v xml:space="preserve">   Sièges, n.d.a.</v>
      </c>
      <c r="C8078">
        <v>32790175</v>
      </c>
      <c r="D8078">
        <v>56077</v>
      </c>
    </row>
    <row r="8079" spans="1:4" x14ac:dyDescent="0.25">
      <c r="A8079" t="str">
        <f>T("   940290")</f>
        <v xml:space="preserve">   940290</v>
      </c>
      <c r="B8079"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8079">
        <v>97901</v>
      </c>
      <c r="D8079">
        <v>290</v>
      </c>
    </row>
    <row r="8080" spans="1:4" x14ac:dyDescent="0.25">
      <c r="A8080" t="str">
        <f>T("   940310")</f>
        <v xml:space="preserve">   940310</v>
      </c>
      <c r="B8080" t="str">
        <f>T("   Meubles de bureau en métal (sauf sièges)")</f>
        <v xml:space="preserve">   Meubles de bureau en métal (sauf sièges)</v>
      </c>
      <c r="C8080">
        <v>1121768</v>
      </c>
      <c r="D8080">
        <v>2220</v>
      </c>
    </row>
    <row r="8081" spans="1:4" x14ac:dyDescent="0.25">
      <c r="A8081" t="str">
        <f>T("   940320")</f>
        <v xml:space="preserve">   940320</v>
      </c>
      <c r="B8081"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8081">
        <v>1388541</v>
      </c>
      <c r="D8081">
        <v>4749</v>
      </c>
    </row>
    <row r="8082" spans="1:4" x14ac:dyDescent="0.25">
      <c r="A8082" t="str">
        <f>T("   940330")</f>
        <v xml:space="preserve">   940330</v>
      </c>
      <c r="B8082" t="str">
        <f>T("   Meubles de bureau en bois (sauf sièges)")</f>
        <v xml:space="preserve">   Meubles de bureau en bois (sauf sièges)</v>
      </c>
      <c r="C8082">
        <v>22617646</v>
      </c>
      <c r="D8082">
        <v>16767</v>
      </c>
    </row>
    <row r="8083" spans="1:4" x14ac:dyDescent="0.25">
      <c r="A8083" t="str">
        <f>T("   940340")</f>
        <v xml:space="preserve">   940340</v>
      </c>
      <c r="B8083" t="str">
        <f>T("   Meubles de cuisine, en bois (sauf sièges)")</f>
        <v xml:space="preserve">   Meubles de cuisine, en bois (sauf sièges)</v>
      </c>
      <c r="C8083">
        <v>15883262</v>
      </c>
      <c r="D8083">
        <v>10320</v>
      </c>
    </row>
    <row r="8084" spans="1:4" x14ac:dyDescent="0.25">
      <c r="A8084" t="str">
        <f>T("   940350")</f>
        <v xml:space="preserve">   940350</v>
      </c>
      <c r="B8084" t="str">
        <f>T("   Meubles pour chambres à coucher, en bois (sauf sièges)")</f>
        <v xml:space="preserve">   Meubles pour chambres à coucher, en bois (sauf sièges)</v>
      </c>
      <c r="C8084">
        <v>51720393</v>
      </c>
      <c r="D8084">
        <v>29958</v>
      </c>
    </row>
    <row r="8085" spans="1:4" x14ac:dyDescent="0.25">
      <c r="A8085" t="str">
        <f>T("   940360")</f>
        <v xml:space="preserve">   940360</v>
      </c>
      <c r="B8085" t="str">
        <f>T("   Meubles en bois (autres que pour bureaux, cuisines ou chambres à coucher et autres que sièges)")</f>
        <v xml:space="preserve">   Meubles en bois (autres que pour bureaux, cuisines ou chambres à coucher et autres que sièges)</v>
      </c>
      <c r="C8085">
        <v>57320182</v>
      </c>
      <c r="D8085">
        <v>44868</v>
      </c>
    </row>
    <row r="8086" spans="1:4" x14ac:dyDescent="0.25">
      <c r="A8086" t="str">
        <f>T("   940370")</f>
        <v xml:space="preserve">   940370</v>
      </c>
      <c r="B8086"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8086">
        <v>7936119</v>
      </c>
      <c r="D8086">
        <v>6491</v>
      </c>
    </row>
    <row r="8087" spans="1:4" x14ac:dyDescent="0.25">
      <c r="A8087" t="str">
        <f>T("   940380")</f>
        <v xml:space="preserve">   940380</v>
      </c>
      <c r="B8087" t="str">
        <f>T("   Meubles en rotin, osier, bambou ou autres matières (sauf métal, bois et matières plastiques)")</f>
        <v xml:space="preserve">   Meubles en rotin, osier, bambou ou autres matières (sauf métal, bois et matières plastiques)</v>
      </c>
      <c r="C8087">
        <v>688758</v>
      </c>
      <c r="D8087">
        <v>500</v>
      </c>
    </row>
    <row r="8088" spans="1:4" x14ac:dyDescent="0.25">
      <c r="A8088" t="str">
        <f>T("   940429")</f>
        <v xml:space="preserve">   940429</v>
      </c>
      <c r="B8088"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8088">
        <v>1377500</v>
      </c>
      <c r="D8088">
        <v>880</v>
      </c>
    </row>
    <row r="8089" spans="1:4" x14ac:dyDescent="0.25">
      <c r="A8089" t="str">
        <f>T("   940490")</f>
        <v xml:space="preserve">   940490</v>
      </c>
      <c r="B8089" t="s">
        <v>505</v>
      </c>
      <c r="C8089">
        <v>2090000</v>
      </c>
      <c r="D8089">
        <v>150</v>
      </c>
    </row>
    <row r="8090" spans="1:4" x14ac:dyDescent="0.25">
      <c r="A8090" t="str">
        <f>T("   940540")</f>
        <v xml:space="preserve">   940540</v>
      </c>
      <c r="B8090" t="str">
        <f>T("   Appareils d'éclairage électrique, n.d.a.")</f>
        <v xml:space="preserve">   Appareils d'éclairage électrique, n.d.a.</v>
      </c>
      <c r="C8090">
        <v>6594525</v>
      </c>
      <c r="D8090">
        <v>12535</v>
      </c>
    </row>
    <row r="8091" spans="1:4" x14ac:dyDescent="0.25">
      <c r="A8091" t="str">
        <f>T("   940550")</f>
        <v xml:space="preserve">   940550</v>
      </c>
      <c r="B8091" t="str">
        <f>T("   Appareils d'éclairage non-électriques, n.d.a.")</f>
        <v xml:space="preserve">   Appareils d'éclairage non-électriques, n.d.a.</v>
      </c>
      <c r="C8091">
        <v>200781</v>
      </c>
      <c r="D8091">
        <v>210</v>
      </c>
    </row>
    <row r="8092" spans="1:4" x14ac:dyDescent="0.25">
      <c r="A8092" t="str">
        <f>T("   940560")</f>
        <v xml:space="preserve">   940560</v>
      </c>
      <c r="B8092"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8092">
        <v>11735999</v>
      </c>
      <c r="D8092">
        <v>2402</v>
      </c>
    </row>
    <row r="8093" spans="1:4" x14ac:dyDescent="0.25">
      <c r="A8093" t="str">
        <f>T("   940591")</f>
        <v xml:space="preserve">   940591</v>
      </c>
      <c r="B8093" t="str">
        <f>T("   Parties en verres d'appareils d'éclairage, de lampes-réclames, d'enseignes lumineuses, de plaques indicatrices lumineuses, et simil., n.d.a.")</f>
        <v xml:space="preserve">   Parties en verres d'appareils d'éclairage, de lampes-réclames, d'enseignes lumineuses, de plaques indicatrices lumineuses, et simil., n.d.a.</v>
      </c>
      <c r="C8093">
        <v>1166400</v>
      </c>
      <c r="D8093">
        <v>4430</v>
      </c>
    </row>
    <row r="8094" spans="1:4" x14ac:dyDescent="0.25">
      <c r="A8094" t="str">
        <f>T("   940600")</f>
        <v xml:space="preserve">   940600</v>
      </c>
      <c r="B8094" t="str">
        <f>T("   Constructions préfabriquées, même incomplètes ou non encore montées")</f>
        <v xml:space="preserve">   Constructions préfabriquées, même incomplètes ou non encore montées</v>
      </c>
      <c r="C8094">
        <v>3036000</v>
      </c>
      <c r="D8094">
        <v>3100</v>
      </c>
    </row>
    <row r="8095" spans="1:4" x14ac:dyDescent="0.25">
      <c r="A8095" t="str">
        <f>T("   950360")</f>
        <v xml:space="preserve">   950360</v>
      </c>
      <c r="B8095" t="str">
        <f>T("   PUZZLES")</f>
        <v xml:space="preserve">   PUZZLES</v>
      </c>
      <c r="C8095">
        <v>20000</v>
      </c>
      <c r="D8095">
        <v>62</v>
      </c>
    </row>
    <row r="8096" spans="1:4" x14ac:dyDescent="0.25">
      <c r="A8096" t="str">
        <f>T("   950390")</f>
        <v xml:space="preserve">   950390</v>
      </c>
      <c r="B8096" t="str">
        <f>T("   Jouets, n.d.a.")</f>
        <v xml:space="preserve">   Jouets, n.d.a.</v>
      </c>
      <c r="C8096">
        <v>1624500</v>
      </c>
      <c r="D8096">
        <v>2161</v>
      </c>
    </row>
    <row r="8097" spans="1:4" x14ac:dyDescent="0.25">
      <c r="A8097" t="str">
        <f>T("   950410")</f>
        <v xml:space="preserve">   950410</v>
      </c>
      <c r="B8097" t="str">
        <f>T("   Jeux vidéo des types utilisables avec un récepteur de télévision")</f>
        <v xml:space="preserve">   Jeux vidéo des types utilisables avec un récepteur de télévision</v>
      </c>
      <c r="C8097">
        <v>74000</v>
      </c>
      <c r="D8097">
        <v>130</v>
      </c>
    </row>
    <row r="8098" spans="1:4" x14ac:dyDescent="0.25">
      <c r="A8098" t="str">
        <f>T("   950490")</f>
        <v xml:space="preserve">   950490</v>
      </c>
      <c r="B8098" t="s">
        <v>507</v>
      </c>
      <c r="C8098">
        <v>800000</v>
      </c>
      <c r="D8098">
        <v>3000</v>
      </c>
    </row>
    <row r="8099" spans="1:4" x14ac:dyDescent="0.25">
      <c r="A8099" t="str">
        <f>T("   950590")</f>
        <v xml:space="preserve">   950590</v>
      </c>
      <c r="B8099" t="str">
        <f>T("   Articles pour fêtes, carnaval ou autres divertissements, y.c. les articles de magie et articles-surprises, n.d.a.")</f>
        <v xml:space="preserve">   Articles pour fêtes, carnaval ou autres divertissements, y.c. les articles de magie et articles-surprises, n.d.a.</v>
      </c>
      <c r="C8099">
        <v>21768560</v>
      </c>
      <c r="D8099">
        <v>6088</v>
      </c>
    </row>
    <row r="8100" spans="1:4" x14ac:dyDescent="0.25">
      <c r="A8100" t="str">
        <f>T("   950611")</f>
        <v xml:space="preserve">   950611</v>
      </c>
      <c r="B8100" t="str">
        <f>T("   SKIS DE NEIGE")</f>
        <v xml:space="preserve">   SKIS DE NEIGE</v>
      </c>
      <c r="C8100">
        <v>24000</v>
      </c>
      <c r="D8100">
        <v>20</v>
      </c>
    </row>
    <row r="8101" spans="1:4" x14ac:dyDescent="0.25">
      <c r="A8101" t="str">
        <f>T("   950662")</f>
        <v xml:space="preserve">   950662</v>
      </c>
      <c r="B8101" t="str">
        <f>T("   Ballons et balles gonflables")</f>
        <v xml:space="preserve">   Ballons et balles gonflables</v>
      </c>
      <c r="C8101">
        <v>25000</v>
      </c>
      <c r="D8101">
        <v>20</v>
      </c>
    </row>
    <row r="8102" spans="1:4" x14ac:dyDescent="0.25">
      <c r="A8102" t="str">
        <f>T("   950669")</f>
        <v xml:space="preserve">   950669</v>
      </c>
      <c r="B8102" t="str">
        <f>T("   Ballons et balles (autres que gonflables et autres que balles de golf ou de tennis de table)")</f>
        <v xml:space="preserve">   Ballons et balles (autres que gonflables et autres que balles de golf ou de tennis de table)</v>
      </c>
      <c r="C8102">
        <v>28500</v>
      </c>
      <c r="D8102">
        <v>80</v>
      </c>
    </row>
    <row r="8103" spans="1:4" x14ac:dyDescent="0.25">
      <c r="A8103" t="str">
        <f>T("   950699")</f>
        <v xml:space="preserve">   950699</v>
      </c>
      <c r="B8103" t="str">
        <f>T("   Articles et matériel pour le sport et les jeux de plein air, n.d.a.; piscines et pataugeoires")</f>
        <v xml:space="preserve">   Articles et matériel pour le sport et les jeux de plein air, n.d.a.; piscines et pataugeoires</v>
      </c>
      <c r="C8103">
        <v>30000</v>
      </c>
      <c r="D8103">
        <v>50</v>
      </c>
    </row>
    <row r="8104" spans="1:4" x14ac:dyDescent="0.25">
      <c r="A8104" t="str">
        <f>T("   960321")</f>
        <v xml:space="preserve">   960321</v>
      </c>
      <c r="B8104" t="str">
        <f>T("   Brosses à dent, y.c. brosses à prothèses dentaires")</f>
        <v xml:space="preserve">   Brosses à dent, y.c. brosses à prothèses dentaires</v>
      </c>
      <c r="C8104">
        <v>498300</v>
      </c>
      <c r="D8104">
        <v>453</v>
      </c>
    </row>
    <row r="8105" spans="1:4" x14ac:dyDescent="0.25">
      <c r="A8105" t="str">
        <f>T("   960810")</f>
        <v xml:space="preserve">   960810</v>
      </c>
      <c r="B8105" t="str">
        <f>T("   Stylos et crayons à bille")</f>
        <v xml:space="preserve">   Stylos et crayons à bille</v>
      </c>
      <c r="C8105">
        <v>60000</v>
      </c>
      <c r="D8105">
        <v>45</v>
      </c>
    </row>
    <row r="8106" spans="1:4" x14ac:dyDescent="0.25">
      <c r="A8106" t="str">
        <f>T("   961220")</f>
        <v xml:space="preserve">   961220</v>
      </c>
      <c r="B8106" t="str">
        <f>T("   Tampons encreurs, même imprégnés, avec ou sans boîte")</f>
        <v xml:space="preserve">   Tampons encreurs, même imprégnés, avec ou sans boîte</v>
      </c>
      <c r="C8106">
        <v>40000</v>
      </c>
      <c r="D8106">
        <v>28</v>
      </c>
    </row>
    <row r="8107" spans="1:4" x14ac:dyDescent="0.25">
      <c r="A8107" t="str">
        <f>T("   961511")</f>
        <v xml:space="preserve">   961511</v>
      </c>
      <c r="B8107" t="str">
        <f>T("   PEIGNÉS À COIFFER, PEIGNÉS DE COIFFURE, BARRETTES ET ARTICLES SIMIL., EN CAOUTCHOUC DURCI OU EN MATIÈRES PLASTIQUES")</f>
        <v xml:space="preserve">   PEIGNÉS À COIFFER, PEIGNÉS DE COIFFURE, BARRETTES ET ARTICLES SIMIL., EN CAOUTCHOUC DURCI OU EN MATIÈRES PLASTIQUES</v>
      </c>
      <c r="C8107">
        <v>15725</v>
      </c>
      <c r="D8107">
        <v>37</v>
      </c>
    </row>
    <row r="8108" spans="1:4" x14ac:dyDescent="0.25">
      <c r="A8108" t="str">
        <f>T("   961590")</f>
        <v xml:space="preserve">   961590</v>
      </c>
      <c r="B8108" t="str">
        <f>T("   Epingles à cheveux; pince-guiches, ondulateurs, bigoudis et articles pour la coiffure (autres que ceux du n° 8516); parties")</f>
        <v xml:space="preserve">   Epingles à cheveux; pince-guiches, ondulateurs, bigoudis et articles pour la coiffure (autres que ceux du n° 8516); parties</v>
      </c>
      <c r="C8108">
        <v>175000</v>
      </c>
      <c r="D8108">
        <v>175</v>
      </c>
    </row>
    <row r="8109" spans="1:4" x14ac:dyDescent="0.25">
      <c r="A8109" t="str">
        <f>T("   961700")</f>
        <v xml:space="preserve">   961700</v>
      </c>
      <c r="B8109"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8109">
        <v>32870875</v>
      </c>
      <c r="D8109">
        <v>233830</v>
      </c>
    </row>
    <row r="8110" spans="1:4" x14ac:dyDescent="0.25">
      <c r="A8110" t="str">
        <f>T("NL")</f>
        <v>NL</v>
      </c>
      <c r="B8110" t="str">
        <f>T("Pays-bas")</f>
        <v>Pays-bas</v>
      </c>
    </row>
    <row r="8111" spans="1:4" x14ac:dyDescent="0.25">
      <c r="A8111" t="str">
        <f>T("   ZZ_Total_Produit_SH6")</f>
        <v xml:space="preserve">   ZZ_Total_Produit_SH6</v>
      </c>
      <c r="B8111" t="str">
        <f>T("   ZZ_Total_Produit_SH6")</f>
        <v xml:space="preserve">   ZZ_Total_Produit_SH6</v>
      </c>
      <c r="C8111">
        <v>49420898246.454002</v>
      </c>
      <c r="D8111">
        <v>82592281.329999998</v>
      </c>
    </row>
    <row r="8112" spans="1:4" x14ac:dyDescent="0.25">
      <c r="A8112" t="str">
        <f>T("   010511")</f>
        <v xml:space="preserve">   010511</v>
      </c>
      <c r="B8112" t="str">
        <f>T("   Coqs et poules [des espèces domestiques], vivants, d'un poids &lt;= 185 g")</f>
        <v xml:space="preserve">   Coqs et poules [des espèces domestiques], vivants, d'un poids &lt;= 185 g</v>
      </c>
      <c r="C8112">
        <v>4265707</v>
      </c>
      <c r="D8112">
        <v>2601</v>
      </c>
    </row>
    <row r="8113" spans="1:4" x14ac:dyDescent="0.25">
      <c r="A8113" t="str">
        <f>T("   020712")</f>
        <v xml:space="preserve">   020712</v>
      </c>
      <c r="B8113" t="str">
        <f>T("   COQS ET POULES [DES ESPÈCES DOMESTIQUES], NON-DÉCOUPÉS EN MORCEAUX, CONGELÉS")</f>
        <v xml:space="preserve">   COQS ET POULES [DES ESPÈCES DOMESTIQUES], NON-DÉCOUPÉS EN MORCEAUX, CONGELÉS</v>
      </c>
      <c r="C8113">
        <v>2185743630</v>
      </c>
      <c r="D8113">
        <v>3649358</v>
      </c>
    </row>
    <row r="8114" spans="1:4" x14ac:dyDescent="0.25">
      <c r="A8114" t="str">
        <f>T("   020714")</f>
        <v xml:space="preserve">   020714</v>
      </c>
      <c r="B8114" t="str">
        <f>T("   Morceaux et abats comestibles de coqs et de poules [des espèces domestiques], congelés")</f>
        <v xml:space="preserve">   Morceaux et abats comestibles de coqs et de poules [des espèces domestiques], congelés</v>
      </c>
      <c r="C8114">
        <v>10766243935</v>
      </c>
      <c r="D8114">
        <v>18265492</v>
      </c>
    </row>
    <row r="8115" spans="1:4" x14ac:dyDescent="0.25">
      <c r="A8115" t="str">
        <f>T("   020727")</f>
        <v xml:space="preserve">   020727</v>
      </c>
      <c r="B8115" t="str">
        <f>T("   Morceaux et abats comestibles de dindes et dindons [des espèces domestiques], congelés")</f>
        <v xml:space="preserve">   Morceaux et abats comestibles de dindes et dindons [des espèces domestiques], congelés</v>
      </c>
      <c r="C8115">
        <v>2975074959</v>
      </c>
      <c r="D8115">
        <v>4926395</v>
      </c>
    </row>
    <row r="8116" spans="1:4" x14ac:dyDescent="0.25">
      <c r="A8116" t="str">
        <f>T("   030379")</f>
        <v xml:space="preserve">   030379</v>
      </c>
      <c r="B8116" t="s">
        <v>17</v>
      </c>
      <c r="C8116">
        <v>289299559</v>
      </c>
      <c r="D8116">
        <v>1496936</v>
      </c>
    </row>
    <row r="8117" spans="1:4" x14ac:dyDescent="0.25">
      <c r="A8117" t="str">
        <f>T("   040210")</f>
        <v xml:space="preserve">   040210</v>
      </c>
      <c r="B8117"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8117">
        <v>34001256</v>
      </c>
      <c r="D8117">
        <v>62992</v>
      </c>
    </row>
    <row r="8118" spans="1:4" x14ac:dyDescent="0.25">
      <c r="A8118" t="str">
        <f>T("   040221")</f>
        <v xml:space="preserve">   040221</v>
      </c>
      <c r="B8118"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8118">
        <v>1152217993</v>
      </c>
      <c r="D8118">
        <v>434235.4</v>
      </c>
    </row>
    <row r="8119" spans="1:4" x14ac:dyDescent="0.25">
      <c r="A8119" t="str">
        <f>T("   040229")</f>
        <v xml:space="preserve">   040229</v>
      </c>
      <c r="B8119"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8119">
        <v>54651963</v>
      </c>
      <c r="D8119">
        <v>31975</v>
      </c>
    </row>
    <row r="8120" spans="1:4" x14ac:dyDescent="0.25">
      <c r="A8120" t="str">
        <f>T("   040291")</f>
        <v xml:space="preserve">   040291</v>
      </c>
      <c r="B8120"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8120">
        <v>4184123907</v>
      </c>
      <c r="D8120">
        <v>3713126.3999999999</v>
      </c>
    </row>
    <row r="8121" spans="1:4" x14ac:dyDescent="0.25">
      <c r="A8121" t="str">
        <f>T("   040299")</f>
        <v xml:space="preserve">   040299</v>
      </c>
      <c r="B8121"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8121">
        <v>435686651</v>
      </c>
      <c r="D8121">
        <v>538106.1</v>
      </c>
    </row>
    <row r="8122" spans="1:4" x14ac:dyDescent="0.25">
      <c r="A8122" t="str">
        <f>T("   040700")</f>
        <v xml:space="preserve">   040700</v>
      </c>
      <c r="B8122" t="str">
        <f>T("   Oeufs d'oiseaux, en coquilles, frais, conservés ou cuits")</f>
        <v xml:space="preserve">   Oeufs d'oiseaux, en coquilles, frais, conservés ou cuits</v>
      </c>
      <c r="C8122">
        <v>1074462</v>
      </c>
      <c r="D8122">
        <v>2016</v>
      </c>
    </row>
    <row r="8123" spans="1:4" x14ac:dyDescent="0.25">
      <c r="A8123" t="str">
        <f>T("   070190")</f>
        <v xml:space="preserve">   070190</v>
      </c>
      <c r="B8123" t="str">
        <f>T("   Pommes de terre, à l'état frais ou réfrigéré (à l'excl. des pommes de terre de semence)")</f>
        <v xml:space="preserve">   Pommes de terre, à l'état frais ou réfrigéré (à l'excl. des pommes de terre de semence)</v>
      </c>
      <c r="C8123">
        <v>70184963</v>
      </c>
      <c r="D8123">
        <v>421650</v>
      </c>
    </row>
    <row r="8124" spans="1:4" x14ac:dyDescent="0.25">
      <c r="A8124" t="str">
        <f>T("   070310")</f>
        <v xml:space="preserve">   070310</v>
      </c>
      <c r="B8124" t="str">
        <f>T("   Oignons et échalotes, à l'état frais ou réfrigéré")</f>
        <v xml:space="preserve">   Oignons et échalotes, à l'état frais ou réfrigéré</v>
      </c>
      <c r="C8124">
        <v>1310257</v>
      </c>
      <c r="D8124">
        <v>7850</v>
      </c>
    </row>
    <row r="8125" spans="1:4" x14ac:dyDescent="0.25">
      <c r="A8125" t="str">
        <f>T("   071010")</f>
        <v xml:space="preserve">   071010</v>
      </c>
      <c r="B8125" t="str">
        <f>T("   Pommes de terre, non cuites ou cuites à l'eau ou à la vapeur, congelées")</f>
        <v xml:space="preserve">   Pommes de terre, non cuites ou cuites à l'eau ou à la vapeur, congelées</v>
      </c>
      <c r="C8125">
        <v>22403185</v>
      </c>
      <c r="D8125">
        <v>120525</v>
      </c>
    </row>
    <row r="8126" spans="1:4" x14ac:dyDescent="0.25">
      <c r="A8126" t="str">
        <f>T("   071090")</f>
        <v xml:space="preserve">   071090</v>
      </c>
      <c r="B8126" t="str">
        <f>T("   Mélanges de légumes, non cuits ou cuits à l'eau ou à la vapeur, congelés")</f>
        <v xml:space="preserve">   Mélanges de légumes, non cuits ou cuits à l'eau ou à la vapeur, congelés</v>
      </c>
      <c r="C8126">
        <v>300430</v>
      </c>
      <c r="D8126">
        <v>2290</v>
      </c>
    </row>
    <row r="8127" spans="1:4" x14ac:dyDescent="0.25">
      <c r="A8127" t="str">
        <f>T("   071220")</f>
        <v xml:space="preserve">   071220</v>
      </c>
      <c r="B8127" t="str">
        <f>T("   Oignons, séchés, même coupés en morceaux ou en tranches ou bien broyés ou pulvérisés, mais non autrement préparés")</f>
        <v xml:space="preserve">   Oignons, séchés, même coupés en morceaux ou en tranches ou bien broyés ou pulvérisés, mais non autrement préparés</v>
      </c>
      <c r="C8127">
        <v>4686717</v>
      </c>
      <c r="D8127">
        <v>31093</v>
      </c>
    </row>
    <row r="8128" spans="1:4" x14ac:dyDescent="0.25">
      <c r="A8128" t="str">
        <f>T("   081330")</f>
        <v xml:space="preserve">   081330</v>
      </c>
      <c r="B8128" t="str">
        <f>T("   Pommes, séchées")</f>
        <v xml:space="preserve">   Pommes, séchées</v>
      </c>
      <c r="C8128">
        <v>3300000</v>
      </c>
      <c r="D8128">
        <v>20000</v>
      </c>
    </row>
    <row r="8129" spans="1:4" x14ac:dyDescent="0.25">
      <c r="A8129" t="str">
        <f>T("   110100")</f>
        <v xml:space="preserve">   110100</v>
      </c>
      <c r="B8129" t="str">
        <f>T("   Farines de froment [blé] ou de méteil")</f>
        <v xml:space="preserve">   Farines de froment [blé] ou de méteil</v>
      </c>
      <c r="C8129">
        <v>103664780.008</v>
      </c>
      <c r="D8129">
        <v>383418</v>
      </c>
    </row>
    <row r="8130" spans="1:4" x14ac:dyDescent="0.25">
      <c r="A8130" t="str">
        <f>T("   150990")</f>
        <v xml:space="preserve">   150990</v>
      </c>
      <c r="B8130"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8130">
        <v>4400180</v>
      </c>
      <c r="D8130">
        <v>18150</v>
      </c>
    </row>
    <row r="8131" spans="1:4" x14ac:dyDescent="0.25">
      <c r="A8131" t="str">
        <f>T("   151190")</f>
        <v xml:space="preserve">   151190</v>
      </c>
      <c r="B8131" t="str">
        <f>T("   Huile de palme et ses fractions, même raffinées, mais non chimiquement modifiées (à l'excl. de l'huile de palme brute)")</f>
        <v xml:space="preserve">   Huile de palme et ses fractions, même raffinées, mais non chimiquement modifiées (à l'excl. de l'huile de palme brute)</v>
      </c>
      <c r="C8131">
        <v>48093525.127999999</v>
      </c>
      <c r="D8131">
        <v>132000</v>
      </c>
    </row>
    <row r="8132" spans="1:4" x14ac:dyDescent="0.25">
      <c r="A8132" t="str">
        <f>T("   160100")</f>
        <v xml:space="preserve">   160100</v>
      </c>
      <c r="B8132" t="str">
        <f>T("   Saucisses, saucissons et produits simil., de viande, d'abats ou de sang; préparations alimentaires à base de ces produits")</f>
        <v xml:space="preserve">   Saucisses, saucissons et produits simil., de viande, d'abats ou de sang; préparations alimentaires à base de ces produits</v>
      </c>
      <c r="C8132">
        <v>109019895</v>
      </c>
      <c r="D8132">
        <v>179999</v>
      </c>
    </row>
    <row r="8133" spans="1:4" x14ac:dyDescent="0.25">
      <c r="A8133" t="str">
        <f>T("   160232")</f>
        <v xml:space="preserve">   160232</v>
      </c>
      <c r="B8133" t="s">
        <v>40</v>
      </c>
      <c r="C8133">
        <v>15011645</v>
      </c>
      <c r="D8133">
        <v>26006</v>
      </c>
    </row>
    <row r="8134" spans="1:4" x14ac:dyDescent="0.25">
      <c r="A8134" t="str">
        <f>T("   170191")</f>
        <v xml:space="preserve">   170191</v>
      </c>
      <c r="B8134" t="str">
        <f>T("   Sucres de canne ou de betterave, à l'état solide, additionnés d'aromatisants ou de colorants")</f>
        <v xml:space="preserve">   Sucres de canne ou de betterave, à l'état solide, additionnés d'aromatisants ou de colorants</v>
      </c>
      <c r="C8134">
        <v>64047429.318000004</v>
      </c>
      <c r="D8134">
        <v>270000</v>
      </c>
    </row>
    <row r="8135" spans="1:4" x14ac:dyDescent="0.25">
      <c r="A8135" t="str">
        <f>T("   170490")</f>
        <v xml:space="preserve">   170490</v>
      </c>
      <c r="B8135" t="str">
        <f>T("   Sucreries sans cacao, y.c. le chocolat blanc (à l'excl. des gommes à mâcher)")</f>
        <v xml:space="preserve">   Sucreries sans cacao, y.c. le chocolat blanc (à l'excl. des gommes à mâcher)</v>
      </c>
      <c r="C8135">
        <v>2000000</v>
      </c>
      <c r="D8135">
        <v>15200</v>
      </c>
    </row>
    <row r="8136" spans="1:4" x14ac:dyDescent="0.25">
      <c r="A8136" t="str">
        <f>T("   190190")</f>
        <v xml:space="preserve">   190190</v>
      </c>
      <c r="B8136" t="s">
        <v>50</v>
      </c>
      <c r="C8136">
        <v>299864125</v>
      </c>
      <c r="D8136">
        <v>353152.68</v>
      </c>
    </row>
    <row r="8137" spans="1:4" x14ac:dyDescent="0.25">
      <c r="A8137" t="str">
        <f>T("   190531")</f>
        <v xml:space="preserve">   190531</v>
      </c>
      <c r="B8137" t="str">
        <f>T("   Biscuits additionnés d'édulcorants")</f>
        <v xml:space="preserve">   Biscuits additionnés d'édulcorants</v>
      </c>
      <c r="C8137">
        <v>4705201</v>
      </c>
      <c r="D8137">
        <v>6296</v>
      </c>
    </row>
    <row r="8138" spans="1:4" x14ac:dyDescent="0.25">
      <c r="A8138" t="str">
        <f>T("   190590")</f>
        <v xml:space="preserve">   190590</v>
      </c>
      <c r="B8138" t="s">
        <v>52</v>
      </c>
      <c r="C8138">
        <v>68829884</v>
      </c>
      <c r="D8138">
        <v>57941</v>
      </c>
    </row>
    <row r="8139" spans="1:4" x14ac:dyDescent="0.25">
      <c r="A8139" t="str">
        <f>T("   200290")</f>
        <v xml:space="preserve">   200290</v>
      </c>
      <c r="B8139"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8139">
        <v>144451164</v>
      </c>
      <c r="D8139">
        <v>291818</v>
      </c>
    </row>
    <row r="8140" spans="1:4" x14ac:dyDescent="0.25">
      <c r="A8140" t="str">
        <f>T("   210690")</f>
        <v xml:space="preserve">   210690</v>
      </c>
      <c r="B8140" t="str">
        <f>T("   Préparations alimentaires, n.d.a.")</f>
        <v xml:space="preserve">   Préparations alimentaires, n.d.a.</v>
      </c>
      <c r="C8140">
        <v>2396750</v>
      </c>
      <c r="D8140">
        <v>4251</v>
      </c>
    </row>
    <row r="8141" spans="1:4" x14ac:dyDescent="0.25">
      <c r="A8141" t="str">
        <f>T("   220110")</f>
        <v xml:space="preserve">   220110</v>
      </c>
      <c r="B8141" t="str">
        <f>T("   Eaux minérales et eaux gazéifiées, non additionnées de sucre ou d'autres édulcorants ni aromatisées")</f>
        <v xml:space="preserve">   Eaux minérales et eaux gazéifiées, non additionnées de sucre ou d'autres édulcorants ni aromatisées</v>
      </c>
      <c r="C8141">
        <v>1541506</v>
      </c>
      <c r="D8141">
        <v>4863</v>
      </c>
    </row>
    <row r="8142" spans="1:4" x14ac:dyDescent="0.25">
      <c r="A8142" t="str">
        <f>T("   220210")</f>
        <v xml:space="preserve">   220210</v>
      </c>
      <c r="B8142"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8142">
        <v>13270373</v>
      </c>
      <c r="D8142">
        <v>42642</v>
      </c>
    </row>
    <row r="8143" spans="1:4" x14ac:dyDescent="0.25">
      <c r="A8143" t="str">
        <f>T("   220290")</f>
        <v xml:space="preserve">   220290</v>
      </c>
      <c r="B8143" t="str">
        <f>T("   BOISSONS NON-ALCOOLIQUES (À L'EXCL. DES EAUX, DES JUS DE FRUITS OU DE LÉGUMES AINSI QUE DU LAIT)")</f>
        <v xml:space="preserve">   BOISSONS NON-ALCOOLIQUES (À L'EXCL. DES EAUX, DES JUS DE FRUITS OU DE LÉGUMES AINSI QUE DU LAIT)</v>
      </c>
      <c r="C8143">
        <v>44184251</v>
      </c>
      <c r="D8143">
        <v>85094</v>
      </c>
    </row>
    <row r="8144" spans="1:4" x14ac:dyDescent="0.25">
      <c r="A8144" t="str">
        <f>T("   220300")</f>
        <v xml:space="preserve">   220300</v>
      </c>
      <c r="B8144" t="str">
        <f>T("   Bières de malt")</f>
        <v xml:space="preserve">   Bières de malt</v>
      </c>
      <c r="C8144">
        <v>380092477</v>
      </c>
      <c r="D8144">
        <v>868863</v>
      </c>
    </row>
    <row r="8145" spans="1:4" x14ac:dyDescent="0.25">
      <c r="A8145" t="str">
        <f>T("   220600")</f>
        <v xml:space="preserve">   220600</v>
      </c>
      <c r="B8145" t="s">
        <v>61</v>
      </c>
      <c r="C8145">
        <v>365868</v>
      </c>
      <c r="D8145">
        <v>298</v>
      </c>
    </row>
    <row r="8146" spans="1:4" x14ac:dyDescent="0.25">
      <c r="A8146" t="str">
        <f>T("   250510")</f>
        <v xml:space="preserve">   250510</v>
      </c>
      <c r="B8146" t="str">
        <f>T("   Sables siliceux et sables quartzeux, même colorés")</f>
        <v xml:space="preserve">   Sables siliceux et sables quartzeux, même colorés</v>
      </c>
      <c r="C8146">
        <v>7123070</v>
      </c>
      <c r="D8146">
        <v>12152</v>
      </c>
    </row>
    <row r="8147" spans="1:4" x14ac:dyDescent="0.25">
      <c r="A8147" t="str">
        <f>T("   250840")</f>
        <v xml:space="preserve">   250840</v>
      </c>
      <c r="B8147" t="str">
        <f>T("   Argiles (à l'excl. des argiles réfractaires ou expansées ainsi que du kaolin et des autres argiles kaoliniques)")</f>
        <v xml:space="preserve">   Argiles (à l'excl. des argiles réfractaires ou expansées ainsi que du kaolin et des autres argiles kaoliniques)</v>
      </c>
      <c r="C8147">
        <v>770674</v>
      </c>
      <c r="D8147">
        <v>376</v>
      </c>
    </row>
    <row r="8148" spans="1:4" x14ac:dyDescent="0.25">
      <c r="A8148" t="str">
        <f>T("   271011")</f>
        <v xml:space="preserve">   271011</v>
      </c>
      <c r="B8148"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8148">
        <v>84126404</v>
      </c>
      <c r="D8148">
        <v>286919</v>
      </c>
    </row>
    <row r="8149" spans="1:4" x14ac:dyDescent="0.25">
      <c r="A8149" t="str">
        <f>T("   271019")</f>
        <v xml:space="preserve">   271019</v>
      </c>
      <c r="B8149" t="str">
        <f>T("   Huiles moyennes et préparations, de pétrole ou de minéraux bitumineux, n.d.a.")</f>
        <v xml:space="preserve">   Huiles moyennes et préparations, de pétrole ou de minéraux bitumineux, n.d.a.</v>
      </c>
      <c r="C8149">
        <v>12172134497</v>
      </c>
      <c r="D8149">
        <v>34886521.770000003</v>
      </c>
    </row>
    <row r="8150" spans="1:4" x14ac:dyDescent="0.25">
      <c r="A8150" t="str">
        <f>T("   271220")</f>
        <v xml:space="preserve">   271220</v>
      </c>
      <c r="B8150" t="str">
        <f>T("   Paraffine contenant en poids &lt; 0,75% d'huile")</f>
        <v xml:space="preserve">   Paraffine contenant en poids &lt; 0,75% d'huile</v>
      </c>
      <c r="C8150">
        <v>49853</v>
      </c>
      <c r="D8150">
        <v>6</v>
      </c>
    </row>
    <row r="8151" spans="1:4" x14ac:dyDescent="0.25">
      <c r="A8151" t="str">
        <f>T("   290110")</f>
        <v xml:space="preserve">   290110</v>
      </c>
      <c r="B8151" t="str">
        <f>T("   Hydrocarbures acycliques, saturés")</f>
        <v xml:space="preserve">   Hydrocarbures acycliques, saturés</v>
      </c>
      <c r="C8151">
        <v>99834737</v>
      </c>
      <c r="D8151">
        <v>99404</v>
      </c>
    </row>
    <row r="8152" spans="1:4" x14ac:dyDescent="0.25">
      <c r="A8152" t="str">
        <f>T("   290230")</f>
        <v xml:space="preserve">   290230</v>
      </c>
      <c r="B8152" t="str">
        <f>T("   Toluène")</f>
        <v xml:space="preserve">   Toluène</v>
      </c>
      <c r="C8152">
        <v>19264719</v>
      </c>
      <c r="D8152">
        <v>32000</v>
      </c>
    </row>
    <row r="8153" spans="1:4" x14ac:dyDescent="0.25">
      <c r="A8153" t="str">
        <f>T("   300339")</f>
        <v xml:space="preserve">   300339</v>
      </c>
      <c r="B8153"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8153">
        <v>10452227</v>
      </c>
      <c r="D8153">
        <v>1835</v>
      </c>
    </row>
    <row r="8154" spans="1:4" x14ac:dyDescent="0.25">
      <c r="A8154" t="str">
        <f>T("   300490")</f>
        <v xml:space="preserve">   300490</v>
      </c>
      <c r="B8154" t="s">
        <v>79</v>
      </c>
      <c r="C8154">
        <v>70971941</v>
      </c>
      <c r="D8154">
        <v>16867</v>
      </c>
    </row>
    <row r="8155" spans="1:4" x14ac:dyDescent="0.25">
      <c r="A8155" t="str">
        <f>T("   300590")</f>
        <v xml:space="preserve">   300590</v>
      </c>
      <c r="B8155" t="s">
        <v>80</v>
      </c>
      <c r="C8155">
        <v>3607123</v>
      </c>
      <c r="D8155">
        <v>487</v>
      </c>
    </row>
    <row r="8156" spans="1:4" x14ac:dyDescent="0.25">
      <c r="A8156" t="str">
        <f>T("   300620")</f>
        <v xml:space="preserve">   300620</v>
      </c>
      <c r="B8156" t="str">
        <f>T("   Réactifs destinés à la détermination des groupes ou des facteurs sanguins")</f>
        <v xml:space="preserve">   Réactifs destinés à la détermination des groupes ou des facteurs sanguins</v>
      </c>
      <c r="C8156">
        <v>11505</v>
      </c>
      <c r="D8156">
        <v>6</v>
      </c>
    </row>
    <row r="8157" spans="1:4" x14ac:dyDescent="0.25">
      <c r="A8157" t="str">
        <f>T("   300650")</f>
        <v xml:space="preserve">   300650</v>
      </c>
      <c r="B8157" t="str">
        <f>T("   Trousses et boîtes de pharmacie garnies, pour soins de première urgence")</f>
        <v xml:space="preserve">   Trousses et boîtes de pharmacie garnies, pour soins de première urgence</v>
      </c>
      <c r="C8157">
        <v>206221</v>
      </c>
      <c r="D8157">
        <v>102</v>
      </c>
    </row>
    <row r="8158" spans="1:4" x14ac:dyDescent="0.25">
      <c r="A8158" t="str">
        <f>T("   310230")</f>
        <v xml:space="preserve">   310230</v>
      </c>
      <c r="B8158" t="str">
        <f>T("   Nitrate d'ammonium, même en solution aqueuse (à l'excl. des produits présentés soit en tablettes ou formes simil., soit en emballages d'un poids brut &lt;= 10 kg)")</f>
        <v xml:space="preserve">   Nitrate d'ammonium, même en solution aqueuse (à l'excl. des produits présentés soit en tablettes ou formes simil., soit en emballages d'un poids brut &lt;= 10 kg)</v>
      </c>
      <c r="C8158">
        <v>7686539</v>
      </c>
      <c r="D8158">
        <v>19040</v>
      </c>
    </row>
    <row r="8159" spans="1:4" x14ac:dyDescent="0.25">
      <c r="A8159" t="str">
        <f>T("   321000")</f>
        <v xml:space="preserve">   321000</v>
      </c>
      <c r="B8159"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8159">
        <v>13775</v>
      </c>
      <c r="D8159">
        <v>1.1000000000000001</v>
      </c>
    </row>
    <row r="8160" spans="1:4" x14ac:dyDescent="0.25">
      <c r="A8160" t="str">
        <f>T("   321511")</f>
        <v xml:space="preserve">   321511</v>
      </c>
      <c r="B8160" t="str">
        <f>T("   Encres d'imprimerie, noires, même concentrées ou sous formes solides")</f>
        <v xml:space="preserve">   Encres d'imprimerie, noires, même concentrées ou sous formes solides</v>
      </c>
      <c r="C8160">
        <v>538543</v>
      </c>
      <c r="D8160">
        <v>217</v>
      </c>
    </row>
    <row r="8161" spans="1:4" x14ac:dyDescent="0.25">
      <c r="A8161" t="str">
        <f>T("   330210")</f>
        <v xml:space="preserve">   330210</v>
      </c>
      <c r="B8161"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8161">
        <v>38216885</v>
      </c>
      <c r="D8161">
        <v>9970</v>
      </c>
    </row>
    <row r="8162" spans="1:4" x14ac:dyDescent="0.25">
      <c r="A8162" t="str">
        <f>T("   340119")</f>
        <v xml:space="preserve">   340119</v>
      </c>
      <c r="B8162" t="s">
        <v>99</v>
      </c>
      <c r="C8162">
        <v>4628598</v>
      </c>
      <c r="D8162">
        <v>2531</v>
      </c>
    </row>
    <row r="8163" spans="1:4" x14ac:dyDescent="0.25">
      <c r="A8163" t="str">
        <f>T("   340130")</f>
        <v xml:space="preserve">   340130</v>
      </c>
      <c r="B8163"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8163">
        <v>1396925</v>
      </c>
      <c r="D8163">
        <v>764</v>
      </c>
    </row>
    <row r="8164" spans="1:4" x14ac:dyDescent="0.25">
      <c r="A8164" t="str">
        <f>T("   340290")</f>
        <v xml:space="preserve">   340290</v>
      </c>
      <c r="B8164" t="s">
        <v>101</v>
      </c>
      <c r="C8164">
        <v>30871446</v>
      </c>
      <c r="D8164">
        <v>24587</v>
      </c>
    </row>
    <row r="8165" spans="1:4" x14ac:dyDescent="0.25">
      <c r="A8165" t="str">
        <f>T("   350691")</f>
        <v xml:space="preserve">   350691</v>
      </c>
      <c r="B8165"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8165">
        <v>1819633</v>
      </c>
      <c r="D8165">
        <v>3112</v>
      </c>
    </row>
    <row r="8166" spans="1:4" x14ac:dyDescent="0.25">
      <c r="A8166" t="str">
        <f>T("   350699")</f>
        <v xml:space="preserve">   350699</v>
      </c>
      <c r="B8166" t="str">
        <f>T("   Colles et autres adhésifs préparés, n.d.a.")</f>
        <v xml:space="preserve">   Colles et autres adhésifs préparés, n.d.a.</v>
      </c>
      <c r="C8166">
        <v>12755798</v>
      </c>
      <c r="D8166">
        <v>17136</v>
      </c>
    </row>
    <row r="8167" spans="1:4" x14ac:dyDescent="0.25">
      <c r="A8167" t="str">
        <f>T("   381129")</f>
        <v xml:space="preserve">   381129</v>
      </c>
      <c r="B8167" t="str">
        <f>T("   Additifs préparés pour huiles lubrifiantes, ne contenant pas d'huiles de pétrole ou de minéraux bitumineux")</f>
        <v xml:space="preserve">   Additifs préparés pour huiles lubrifiantes, ne contenant pas d'huiles de pétrole ou de minéraux bitumineux</v>
      </c>
      <c r="C8167">
        <v>2621216</v>
      </c>
      <c r="D8167">
        <v>2021</v>
      </c>
    </row>
    <row r="8168" spans="1:4" x14ac:dyDescent="0.25">
      <c r="A8168" t="str">
        <f>T("   381400")</f>
        <v xml:space="preserve">   381400</v>
      </c>
      <c r="B8168"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8168">
        <v>6950900</v>
      </c>
      <c r="D8168">
        <v>22012</v>
      </c>
    </row>
    <row r="8169" spans="1:4" x14ac:dyDescent="0.25">
      <c r="A8169" t="str">
        <f>T("   382200")</f>
        <v xml:space="preserve">   382200</v>
      </c>
      <c r="B8169" t="s">
        <v>122</v>
      </c>
      <c r="C8169">
        <v>124633</v>
      </c>
      <c r="D8169">
        <v>17</v>
      </c>
    </row>
    <row r="8170" spans="1:4" x14ac:dyDescent="0.25">
      <c r="A8170" t="str">
        <f>T("   382490")</f>
        <v xml:space="preserve">   382490</v>
      </c>
      <c r="B8170"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8170">
        <v>4962344</v>
      </c>
      <c r="D8170">
        <v>2421</v>
      </c>
    </row>
    <row r="8171" spans="1:4" x14ac:dyDescent="0.25">
      <c r="A8171" t="str">
        <f>T("   392210")</f>
        <v xml:space="preserve">   392210</v>
      </c>
      <c r="B8171" t="str">
        <f>T("   Baignoires, douches, éviers et lavabos, en matières plastiques")</f>
        <v xml:space="preserve">   Baignoires, douches, éviers et lavabos, en matières plastiques</v>
      </c>
      <c r="C8171">
        <v>947656</v>
      </c>
      <c r="D8171">
        <v>23</v>
      </c>
    </row>
    <row r="8172" spans="1:4" x14ac:dyDescent="0.25">
      <c r="A8172" t="str">
        <f>T("   392321")</f>
        <v xml:space="preserve">   392321</v>
      </c>
      <c r="B8172" t="str">
        <f>T("   Sacs, sachets, pochettes et cornets, en polymères de l'éthylène")</f>
        <v xml:space="preserve">   Sacs, sachets, pochettes et cornets, en polymères de l'éthylène</v>
      </c>
      <c r="C8172">
        <v>1257612</v>
      </c>
      <c r="D8172">
        <v>1406</v>
      </c>
    </row>
    <row r="8173" spans="1:4" x14ac:dyDescent="0.25">
      <c r="A8173" t="str">
        <f>T("   392329")</f>
        <v xml:space="preserve">   392329</v>
      </c>
      <c r="B8173" t="str">
        <f>T("   Sacs, sachets, pochettes et cornets, en matières plastiques (autres que les polymères de l'éthylène)")</f>
        <v xml:space="preserve">   Sacs, sachets, pochettes et cornets, en matières plastiques (autres que les polymères de l'éthylène)</v>
      </c>
      <c r="C8173">
        <v>4776413</v>
      </c>
      <c r="D8173">
        <v>5976</v>
      </c>
    </row>
    <row r="8174" spans="1:4" x14ac:dyDescent="0.25">
      <c r="A8174" t="str">
        <f>T("   392620")</f>
        <v xml:space="preserve">   392620</v>
      </c>
      <c r="B8174"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8174">
        <v>170615</v>
      </c>
      <c r="D8174">
        <v>10</v>
      </c>
    </row>
    <row r="8175" spans="1:4" x14ac:dyDescent="0.25">
      <c r="A8175" t="str">
        <f>T("   392690")</f>
        <v xml:space="preserve">   392690</v>
      </c>
      <c r="B8175" t="str">
        <f>T("   Ouvrages en matières plastiques et ouvrages en autres matières du n° 3901 à 3914, n.d.a.")</f>
        <v xml:space="preserve">   Ouvrages en matières plastiques et ouvrages en autres matières du n° 3901 à 3914, n.d.a.</v>
      </c>
      <c r="C8175">
        <v>8054553</v>
      </c>
      <c r="D8175">
        <v>2567</v>
      </c>
    </row>
    <row r="8176" spans="1:4" x14ac:dyDescent="0.25">
      <c r="A8176" t="str">
        <f>T("   400400")</f>
        <v xml:space="preserve">   400400</v>
      </c>
      <c r="B8176" t="str">
        <f>T("   Déchets, débris et rognures de caoutchouc non durci, même réduits en poudre ou en granulés")</f>
        <v xml:space="preserve">   Déchets, débris et rognures de caoutchouc non durci, même réduits en poudre ou en granulés</v>
      </c>
      <c r="C8176">
        <v>28488343</v>
      </c>
      <c r="D8176">
        <v>147000</v>
      </c>
    </row>
    <row r="8177" spans="1:4" x14ac:dyDescent="0.25">
      <c r="A8177" t="str">
        <f>T("   400911")</f>
        <v xml:space="preserve">   400911</v>
      </c>
      <c r="B8177"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8177">
        <v>13157384</v>
      </c>
      <c r="D8177">
        <v>523</v>
      </c>
    </row>
    <row r="8178" spans="1:4" x14ac:dyDescent="0.25">
      <c r="A8178" t="str">
        <f>T("   400912")</f>
        <v xml:space="preserve">   400912</v>
      </c>
      <c r="B8178"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8178">
        <v>104986</v>
      </c>
      <c r="D8178">
        <v>3</v>
      </c>
    </row>
    <row r="8179" spans="1:4" x14ac:dyDescent="0.25">
      <c r="A8179" t="str">
        <f>T("   400942")</f>
        <v xml:space="preserve">   400942</v>
      </c>
      <c r="B8179" t="s">
        <v>150</v>
      </c>
      <c r="C8179">
        <v>408046</v>
      </c>
      <c r="D8179">
        <v>22</v>
      </c>
    </row>
    <row r="8180" spans="1:4" x14ac:dyDescent="0.25">
      <c r="A8180" t="str">
        <f>T("   401039")</f>
        <v xml:space="preserve">   401039</v>
      </c>
      <c r="B8180" t="s">
        <v>151</v>
      </c>
      <c r="C8180">
        <v>1247426</v>
      </c>
      <c r="D8180">
        <v>21</v>
      </c>
    </row>
    <row r="8181" spans="1:4" x14ac:dyDescent="0.25">
      <c r="A8181" t="str">
        <f>T("   401110")</f>
        <v xml:space="preserve">   401110</v>
      </c>
      <c r="B8181"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8181">
        <v>21692925</v>
      </c>
      <c r="D8181">
        <v>5583</v>
      </c>
    </row>
    <row r="8182" spans="1:4" x14ac:dyDescent="0.25">
      <c r="A8182" t="str">
        <f>T("   401120")</f>
        <v xml:space="preserve">   401120</v>
      </c>
      <c r="B8182"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8182">
        <v>100472737</v>
      </c>
      <c r="D8182">
        <v>29407</v>
      </c>
    </row>
    <row r="8183" spans="1:4" x14ac:dyDescent="0.25">
      <c r="A8183" t="str">
        <f>T("   401163")</f>
        <v xml:space="preserve">   401163</v>
      </c>
      <c r="B8183" t="str">
        <f>T("   Pneumatiques neufs, en caoutchouc, à crampons, à chevrons ou simil., des types utilisés pour les véhicules et engins de génie civil et de manutention industrielle, pour jantes d'un diamètre &gt; 61 cm")</f>
        <v xml:space="preserve">   Pneumatiques neufs, en caoutchouc, à crampons, à chevrons ou simil., des types utilisés pour les véhicules et engins de génie civil et de manutention industrielle, pour jantes d'un diamètre &gt; 61 cm</v>
      </c>
      <c r="C8183">
        <v>59462774</v>
      </c>
      <c r="D8183">
        <v>17955</v>
      </c>
    </row>
    <row r="8184" spans="1:4" x14ac:dyDescent="0.25">
      <c r="A8184" t="str">
        <f>T("   401192")</f>
        <v xml:space="preserve">   401192</v>
      </c>
      <c r="B8184" t="str">
        <f>T("   Pneumatiques neufs, en caoutchouc, des types utilisés pour les véhicules et engins agricoles et forestiers (à l'excl. des pneumatiques à crampons, à chevrons ou simil.)")</f>
        <v xml:space="preserve">   Pneumatiques neufs, en caoutchouc, des types utilisés pour les véhicules et engins agricoles et forestiers (à l'excl. des pneumatiques à crampons, à chevrons ou simil.)</v>
      </c>
      <c r="C8184">
        <v>709093</v>
      </c>
      <c r="D8184">
        <v>59</v>
      </c>
    </row>
    <row r="8185" spans="1:4" x14ac:dyDescent="0.25">
      <c r="A8185" t="str">
        <f>T("   401194")</f>
        <v xml:space="preserve">   401194</v>
      </c>
      <c r="B8185" t="str">
        <f>T("   Pneumatiques neufs, en caoutchouc, des types utilisés pour les véhicules et engins de génie civil et de manutention industrielle, pour jantes d'un diamètre &gt; 61 cm (à l'excl. des pneumatiques à crampons, à chevrons ou simil.)")</f>
        <v xml:space="preserve">   Pneumatiques neufs, en caoutchouc, des types utilisés pour les véhicules et engins de génie civil et de manutention industrielle, pour jantes d'un diamètre &gt; 61 cm (à l'excl. des pneumatiques à crampons, à chevrons ou simil.)</v>
      </c>
      <c r="C8185">
        <v>51984830</v>
      </c>
      <c r="D8185">
        <v>17050</v>
      </c>
    </row>
    <row r="8186" spans="1:4" x14ac:dyDescent="0.25">
      <c r="A8186" t="str">
        <f>T("   401199")</f>
        <v xml:space="preserve">   401199</v>
      </c>
      <c r="B8186" t="s">
        <v>152</v>
      </c>
      <c r="C8186">
        <v>207775986</v>
      </c>
      <c r="D8186">
        <v>54297</v>
      </c>
    </row>
    <row r="8187" spans="1:4" x14ac:dyDescent="0.25">
      <c r="A8187" t="str">
        <f>T("   401211")</f>
        <v xml:space="preserve">   401211</v>
      </c>
      <c r="B8187"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8187">
        <v>4500000</v>
      </c>
      <c r="D8187">
        <v>10200</v>
      </c>
    </row>
    <row r="8188" spans="1:4" x14ac:dyDescent="0.25">
      <c r="A8188" t="str">
        <f>T("   401212")</f>
        <v xml:space="preserve">   401212</v>
      </c>
      <c r="B8188" t="str">
        <f>T("   Pneumatiques rechapés, en caoutchouc, des types utilisés pour les autobus ou camions")</f>
        <v xml:space="preserve">   Pneumatiques rechapés, en caoutchouc, des types utilisés pour les autobus ou camions</v>
      </c>
      <c r="C8188">
        <v>7770502</v>
      </c>
      <c r="D8188">
        <v>12500</v>
      </c>
    </row>
    <row r="8189" spans="1:4" x14ac:dyDescent="0.25">
      <c r="A8189" t="str">
        <f>T("   401220")</f>
        <v xml:space="preserve">   401220</v>
      </c>
      <c r="B8189" t="str">
        <f>T("   Pneumatiques usagés, en caoutchouc")</f>
        <v xml:space="preserve">   Pneumatiques usagés, en caoutchouc</v>
      </c>
      <c r="C8189">
        <v>32300784</v>
      </c>
      <c r="D8189">
        <v>74322</v>
      </c>
    </row>
    <row r="8190" spans="1:4" x14ac:dyDescent="0.25">
      <c r="A8190" t="str">
        <f>T("   401310")</f>
        <v xml:space="preserve">   401310</v>
      </c>
      <c r="B8190"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8190">
        <v>309613</v>
      </c>
      <c r="D8190">
        <v>2000</v>
      </c>
    </row>
    <row r="8191" spans="1:4" x14ac:dyDescent="0.25">
      <c r="A8191" t="str">
        <f>T("   401390")</f>
        <v xml:space="preserve">   401390</v>
      </c>
      <c r="B8191"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8191">
        <v>2383877</v>
      </c>
      <c r="D8191">
        <v>8388</v>
      </c>
    </row>
    <row r="8192" spans="1:4" x14ac:dyDescent="0.25">
      <c r="A8192" t="str">
        <f>T("   401511")</f>
        <v xml:space="preserve">   401511</v>
      </c>
      <c r="B8192" t="str">
        <f>T("   Gants en caoutchouc vulcanisé non durci, pour la chirurgie")</f>
        <v xml:space="preserve">   Gants en caoutchouc vulcanisé non durci, pour la chirurgie</v>
      </c>
      <c r="C8192">
        <v>1943610</v>
      </c>
      <c r="D8192">
        <v>262</v>
      </c>
    </row>
    <row r="8193" spans="1:4" x14ac:dyDescent="0.25">
      <c r="A8193" t="str">
        <f>T("   401693")</f>
        <v xml:space="preserve">   401693</v>
      </c>
      <c r="B8193" t="str">
        <f>T("   Joints en caoutchouc vulcanisé non durci (à l'excl. des articles en caoutchouc alvéolaire)")</f>
        <v xml:space="preserve">   Joints en caoutchouc vulcanisé non durci (à l'excl. des articles en caoutchouc alvéolaire)</v>
      </c>
      <c r="C8193">
        <v>685472</v>
      </c>
      <c r="D8193">
        <v>58</v>
      </c>
    </row>
    <row r="8194" spans="1:4" x14ac:dyDescent="0.25">
      <c r="A8194" t="str">
        <f>T("   420229")</f>
        <v xml:space="preserve">   420229</v>
      </c>
      <c r="B8194"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8194">
        <v>3122733</v>
      </c>
      <c r="D8194">
        <v>704</v>
      </c>
    </row>
    <row r="8195" spans="1:4" x14ac:dyDescent="0.25">
      <c r="A8195" t="str">
        <f>T("   420299")</f>
        <v xml:space="preserve">   420299</v>
      </c>
      <c r="B8195" t="s">
        <v>160</v>
      </c>
      <c r="C8195">
        <v>7334848</v>
      </c>
      <c r="D8195">
        <v>315</v>
      </c>
    </row>
    <row r="8196" spans="1:4" x14ac:dyDescent="0.25">
      <c r="A8196" t="str">
        <f>T("   420330")</f>
        <v xml:space="preserve">   420330</v>
      </c>
      <c r="B8196" t="str">
        <f>T("   Ceintures, ceinturons et baudriers, en cuir naturel ou reconstitué")</f>
        <v xml:space="preserve">   Ceintures, ceinturons et baudriers, en cuir naturel ou reconstitué</v>
      </c>
      <c r="C8196">
        <v>84966</v>
      </c>
      <c r="D8196">
        <v>1</v>
      </c>
    </row>
    <row r="8197" spans="1:4" x14ac:dyDescent="0.25">
      <c r="A8197" t="str">
        <f>T("   480100")</f>
        <v xml:space="preserve">   480100</v>
      </c>
      <c r="B8197"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8197">
        <v>28169264</v>
      </c>
      <c r="D8197">
        <v>74521</v>
      </c>
    </row>
    <row r="8198" spans="1:4" x14ac:dyDescent="0.25">
      <c r="A8198" t="str">
        <f>T("   480255")</f>
        <v xml:space="preserve">   480255</v>
      </c>
      <c r="B8198" t="s">
        <v>187</v>
      </c>
      <c r="C8198">
        <v>15390134</v>
      </c>
      <c r="D8198">
        <v>25803</v>
      </c>
    </row>
    <row r="8199" spans="1:4" x14ac:dyDescent="0.25">
      <c r="A8199" t="str">
        <f>T("   480257")</f>
        <v xml:space="preserve">   480257</v>
      </c>
      <c r="B8199" t="s">
        <v>189</v>
      </c>
      <c r="C8199">
        <v>52488286</v>
      </c>
      <c r="D8199">
        <v>99893</v>
      </c>
    </row>
    <row r="8200" spans="1:4" x14ac:dyDescent="0.25">
      <c r="A8200" t="str">
        <f>T("   480258")</f>
        <v xml:space="preserve">   480258</v>
      </c>
      <c r="B8200" t="s">
        <v>190</v>
      </c>
      <c r="C8200">
        <v>25561526</v>
      </c>
      <c r="D8200">
        <v>96161</v>
      </c>
    </row>
    <row r="8201" spans="1:4" x14ac:dyDescent="0.25">
      <c r="A8201" t="str">
        <f>T("   480421")</f>
        <v xml:space="preserve">   480421</v>
      </c>
      <c r="B8201" t="str">
        <f>T("   PAPIERS KRAFT POUR SACS DE GRANDE CONTENANCE, ÉCRUS, NON-COUCHÉS NI ENDUITS, EN ROULEAUX D'UNE LARGEUR &gt; 36 CM (À L'EXCL. DES ARTICLES DU N° 4802, 4803 OU 4808)")</f>
        <v xml:space="preserve">   PAPIERS KRAFT POUR SACS DE GRANDE CONTENANCE, ÉCRUS, NON-COUCHÉS NI ENDUITS, EN ROULEAUX D'UNE LARGEUR &gt; 36 CM (À L'EXCL. DES ARTICLES DU N° 4802, 4803 OU 4808)</v>
      </c>
      <c r="C8201">
        <v>27964323</v>
      </c>
      <c r="D8201">
        <v>52138</v>
      </c>
    </row>
    <row r="8202" spans="1:4" x14ac:dyDescent="0.25">
      <c r="A8202" t="str">
        <f>T("   480593")</f>
        <v xml:space="preserve">   480593</v>
      </c>
      <c r="B8202" t="str">
        <f>T("   PAPIERS ET CARTONS, NON-COUCHÉS NI ENDUITS, EN ROULEAUX D'UNE LARGEUR &gt; 36 CM OU EN FEUILLES DE FORME CARRÉE OU RECTANGULAIRE DONT AU MOINS UN CÔTÉ &gt; 36 CM ET L'AUTRE &gt; 15 CM À L'ÉTAT NON-PLIÉ, D'UN POIDS &gt;= 225 G/M², N.D.A.")</f>
        <v xml:space="preserve">   PAPIERS ET CARTONS, NON-COUCHÉS NI ENDUITS, EN ROULEAUX D'UNE LARGEUR &gt; 36 CM OU EN FEUILLES DE FORME CARRÉE OU RECTANGULAIRE DONT AU MOINS UN CÔTÉ &gt; 36 CM ET L'AUTRE &gt; 15 CM À L'ÉTAT NON-PLIÉ, D'UN POIDS &gt;= 225 G/M², N.D.A.</v>
      </c>
      <c r="C8202">
        <v>17576671</v>
      </c>
      <c r="D8202">
        <v>50000</v>
      </c>
    </row>
    <row r="8203" spans="1:4" x14ac:dyDescent="0.25">
      <c r="A8203" t="str">
        <f>T("   480910")</f>
        <v xml:space="preserve">   480910</v>
      </c>
      <c r="B8203" t="str">
        <f>T("   Papiers carbone et papiers simil., même imprimés, en rouleaux d'une largeur &gt; 36 cm ou en feuilles de forme carrée ou rectangulaire dont un côté au moins &gt; 36 cm à l'état non plié")</f>
        <v xml:space="preserve">   Papiers carbone et papiers simil., même imprimés, en rouleaux d'une largeur &gt; 36 cm ou en feuilles de forme carrée ou rectangulaire dont un côté au moins &gt; 36 cm à l'état non plié</v>
      </c>
      <c r="C8203">
        <v>21977185</v>
      </c>
      <c r="D8203">
        <v>26212</v>
      </c>
    </row>
    <row r="8204" spans="1:4" x14ac:dyDescent="0.25">
      <c r="A8204" t="str">
        <f>T("   480920")</f>
        <v xml:space="preserve">   480920</v>
      </c>
      <c r="B8204"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8204">
        <v>55047504</v>
      </c>
      <c r="D8204">
        <v>70585</v>
      </c>
    </row>
    <row r="8205" spans="1:4" x14ac:dyDescent="0.25">
      <c r="A8205" t="str">
        <f>T("   481019")</f>
        <v xml:space="preserve">   481019</v>
      </c>
      <c r="B8205" t="s">
        <v>203</v>
      </c>
      <c r="C8205">
        <v>18029632</v>
      </c>
      <c r="D8205">
        <v>40016</v>
      </c>
    </row>
    <row r="8206" spans="1:4" x14ac:dyDescent="0.25">
      <c r="A8206" t="str">
        <f>T("   481029")</f>
        <v xml:space="preserve">   481029</v>
      </c>
      <c r="B8206" t="s">
        <v>204</v>
      </c>
      <c r="C8206">
        <v>90828425</v>
      </c>
      <c r="D8206">
        <v>161861</v>
      </c>
    </row>
    <row r="8207" spans="1:4" x14ac:dyDescent="0.25">
      <c r="A8207" t="str">
        <f>T("   481032")</f>
        <v xml:space="preserve">   481032</v>
      </c>
      <c r="B8207" t="s">
        <v>205</v>
      </c>
      <c r="C8207">
        <v>7256078</v>
      </c>
      <c r="D8207">
        <v>28330</v>
      </c>
    </row>
    <row r="8208" spans="1:4" x14ac:dyDescent="0.25">
      <c r="A8208" t="str">
        <f>T("   481720")</f>
        <v xml:space="preserve">   481720</v>
      </c>
      <c r="B8208" t="str">
        <f>T("   Cartes-lettres, cartes postales non illustrées et cartes pour correspondance, en papier ou en carton (à l'excl. des articles comportant un timbre-poste imprimé)")</f>
        <v xml:space="preserve">   Cartes-lettres, cartes postales non illustrées et cartes pour correspondance, en papier ou en carton (à l'excl. des articles comportant un timbre-poste imprimé)</v>
      </c>
      <c r="C8208">
        <v>79430</v>
      </c>
      <c r="D8208">
        <v>621</v>
      </c>
    </row>
    <row r="8209" spans="1:4" x14ac:dyDescent="0.25">
      <c r="A8209" t="str">
        <f>T("   481910")</f>
        <v xml:space="preserve">   481910</v>
      </c>
      <c r="B8209" t="str">
        <f>T("   Boîtes et caisses en papier ou en carton ondulé")</f>
        <v xml:space="preserve">   Boîtes et caisses en papier ou en carton ondulé</v>
      </c>
      <c r="C8209">
        <v>563090</v>
      </c>
      <c r="D8209">
        <v>308</v>
      </c>
    </row>
    <row r="8210" spans="1:4" x14ac:dyDescent="0.25">
      <c r="A8210" t="str">
        <f>T("   481920")</f>
        <v xml:space="preserve">   481920</v>
      </c>
      <c r="B8210" t="str">
        <f>T("   Boîtes et cartonnages, pliants, en papier ou en carton non ondulé")</f>
        <v xml:space="preserve">   Boîtes et cartonnages, pliants, en papier ou en carton non ondulé</v>
      </c>
      <c r="C8210">
        <v>1906621</v>
      </c>
      <c r="D8210">
        <v>1001</v>
      </c>
    </row>
    <row r="8211" spans="1:4" x14ac:dyDescent="0.25">
      <c r="A8211" t="str">
        <f>T("   481940")</f>
        <v xml:space="preserve">   481940</v>
      </c>
      <c r="B8211"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8211">
        <v>49197</v>
      </c>
      <c r="D8211">
        <v>8</v>
      </c>
    </row>
    <row r="8212" spans="1:4" x14ac:dyDescent="0.25">
      <c r="A8212" t="str">
        <f>T("   481950")</f>
        <v xml:space="preserve">   481950</v>
      </c>
      <c r="B8212" t="s">
        <v>214</v>
      </c>
      <c r="C8212">
        <v>306386</v>
      </c>
      <c r="D8212">
        <v>16</v>
      </c>
    </row>
    <row r="8213" spans="1:4" x14ac:dyDescent="0.25">
      <c r="A8213" t="str">
        <f>T("   482010")</f>
        <v xml:space="preserve">   482010</v>
      </c>
      <c r="B8213"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8213">
        <v>477518</v>
      </c>
      <c r="D8213">
        <v>323</v>
      </c>
    </row>
    <row r="8214" spans="1:4" x14ac:dyDescent="0.25">
      <c r="A8214" t="str">
        <f>T("   482390")</f>
        <v xml:space="preserve">   482390</v>
      </c>
      <c r="B8214" t="s">
        <v>216</v>
      </c>
      <c r="C8214">
        <v>148903</v>
      </c>
      <c r="D8214">
        <v>23</v>
      </c>
    </row>
    <row r="8215" spans="1:4" x14ac:dyDescent="0.25">
      <c r="A8215" t="str">
        <f>T("   490199")</f>
        <v xml:space="preserve">   490199</v>
      </c>
      <c r="B821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215">
        <v>3502940</v>
      </c>
      <c r="D8215">
        <v>5334</v>
      </c>
    </row>
    <row r="8216" spans="1:4" x14ac:dyDescent="0.25">
      <c r="A8216" t="str">
        <f>T("   490599")</f>
        <v xml:space="preserve">   490599</v>
      </c>
      <c r="B8216"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8216">
        <v>1625281</v>
      </c>
      <c r="D8216">
        <v>474</v>
      </c>
    </row>
    <row r="8217" spans="1:4" x14ac:dyDescent="0.25">
      <c r="A8217" t="str">
        <f>T("   491000")</f>
        <v xml:space="preserve">   491000</v>
      </c>
      <c r="B8217" t="str">
        <f>T("   Calendriers de tous genres, imprimés, y.c. les blocs de calendriers à effeuiller")</f>
        <v xml:space="preserve">   Calendriers de tous genres, imprimés, y.c. les blocs de calendriers à effeuiller</v>
      </c>
      <c r="C8217">
        <v>298455</v>
      </c>
      <c r="D8217">
        <v>296</v>
      </c>
    </row>
    <row r="8218" spans="1:4" x14ac:dyDescent="0.25">
      <c r="A8218" t="str">
        <f>T("   491110")</f>
        <v xml:space="preserve">   491110</v>
      </c>
      <c r="B8218" t="str">
        <f>T("   Imprimés publicitaires, catalogues commerciaux et simil.")</f>
        <v xml:space="preserve">   Imprimés publicitaires, catalogues commerciaux et simil.</v>
      </c>
      <c r="C8218">
        <v>3721530</v>
      </c>
      <c r="D8218">
        <v>4844</v>
      </c>
    </row>
    <row r="8219" spans="1:4" x14ac:dyDescent="0.25">
      <c r="A8219" t="str">
        <f>T("   491199")</f>
        <v xml:space="preserve">   491199</v>
      </c>
      <c r="B8219" t="str">
        <f>T("   Imprimés, n.d.a.")</f>
        <v xml:space="preserve">   Imprimés, n.d.a.</v>
      </c>
      <c r="C8219">
        <v>934229</v>
      </c>
      <c r="D8219">
        <v>1015</v>
      </c>
    </row>
    <row r="8220" spans="1:4" x14ac:dyDescent="0.25">
      <c r="A8220" t="str">
        <f>T("   520521")</f>
        <v xml:space="preserve">   520521</v>
      </c>
      <c r="B8220" t="str">
        <f>T("   Fils simples de coton, en fibres peignées, contenant &gt;= 85% en poids de coton, titrant &gt;= 714,29 décitex [&lt;= 14 numéros métriques] (sauf les fils à coudre et les fils conditionnés pour la vente au détail)")</f>
        <v xml:space="preserve">   Fils simples de coton, en fibres peignées, contenant &gt;= 85% en poids de coton, titrant &gt;= 714,29 décitex [&lt;= 14 numéros métriques] (sauf les fils à coudre et les fils conditionnés pour la vente au détail)</v>
      </c>
      <c r="C8220">
        <v>16537</v>
      </c>
      <c r="D8220">
        <v>24</v>
      </c>
    </row>
    <row r="8221" spans="1:4" x14ac:dyDescent="0.25">
      <c r="A8221" t="str">
        <f>T("   520851")</f>
        <v xml:space="preserve">   520851</v>
      </c>
      <c r="B8221" t="str">
        <f>T("   Tissus de coton, imprimés, à armure toile, contenant &gt;= 85% en poids de coton, d'un poids &lt;= 100 g/m²")</f>
        <v xml:space="preserve">   Tissus de coton, imprimés, à armure toile, contenant &gt;= 85% en poids de coton, d'un poids &lt;= 100 g/m²</v>
      </c>
      <c r="C8221">
        <v>244800</v>
      </c>
      <c r="D8221">
        <v>126</v>
      </c>
    </row>
    <row r="8222" spans="1:4" x14ac:dyDescent="0.25">
      <c r="A8222" t="str">
        <f>T("   520852")</f>
        <v xml:space="preserve">   520852</v>
      </c>
      <c r="B8222" t="str">
        <f>T("   Tissus de coton, imprimés, à armure toile, contenant &gt;= 85% en poids de coton, d'un poids &gt; 100 g/m² mais &lt;= 200 g/m²")</f>
        <v xml:space="preserve">   Tissus de coton, imprimés, à armure toile, contenant &gt;= 85% en poids de coton, d'un poids &gt; 100 g/m² mais &lt;= 200 g/m²</v>
      </c>
      <c r="C8222">
        <v>4578491232</v>
      </c>
      <c r="D8222">
        <v>953189.6</v>
      </c>
    </row>
    <row r="8223" spans="1:4" x14ac:dyDescent="0.25">
      <c r="A8223" t="str">
        <f>T("   560394")</f>
        <v xml:space="preserve">   560394</v>
      </c>
      <c r="B8223" t="str">
        <f>T("   Nontissés, même imprégnés, enduits, recouverts ou stratifiés, n.d.a., d'un poids &gt; 150 g/m² (à l'excl. de filaments synthétiques ou artificiels)")</f>
        <v xml:space="preserve">   Nontissés, même imprégnés, enduits, recouverts ou stratifiés, n.d.a., d'un poids &gt; 150 g/m² (à l'excl. de filaments synthétiques ou artificiels)</v>
      </c>
      <c r="C8223">
        <v>929496</v>
      </c>
      <c r="D8223">
        <v>1577</v>
      </c>
    </row>
    <row r="8224" spans="1:4" x14ac:dyDescent="0.25">
      <c r="A8224" t="str">
        <f>T("   570330")</f>
        <v xml:space="preserve">   570330</v>
      </c>
      <c r="B8224" t="str">
        <f>T("   Tapis et autres revêtements de sol, de matières textiles synthétiques ou artificielles, touffetés, même confectionnés (à l'excl. des articles en nylon ou en autres polyamides)")</f>
        <v xml:space="preserve">   Tapis et autres revêtements de sol, de matières textiles synthétiques ou artificielles, touffetés, même confectionnés (à l'excl. des articles en nylon ou en autres polyamides)</v>
      </c>
      <c r="C8224">
        <v>63337530</v>
      </c>
      <c r="D8224">
        <v>108238</v>
      </c>
    </row>
    <row r="8225" spans="1:4" x14ac:dyDescent="0.25">
      <c r="A8225" t="str">
        <f>T("   580429")</f>
        <v xml:space="preserve">   580429</v>
      </c>
      <c r="B8225" t="str">
        <f>T("   Dentelles à la mécanique, en pièces, en bandes ou en motifs (à l'excl. des articles de fibres synthétiques ou artificielles ainsi que des produits du n° 6002 à 6006)")</f>
        <v xml:space="preserve">   Dentelles à la mécanique, en pièces, en bandes ou en motifs (à l'excl. des articles de fibres synthétiques ou artificielles ainsi que des produits du n° 6002 à 6006)</v>
      </c>
      <c r="C8225">
        <v>2595345</v>
      </c>
      <c r="D8225">
        <v>37</v>
      </c>
    </row>
    <row r="8226" spans="1:4" x14ac:dyDescent="0.25">
      <c r="A8226" t="str">
        <f>T("   580632")</f>
        <v xml:space="preserve">   580632</v>
      </c>
      <c r="B8226" t="str">
        <f>T("   RUBANERIE, TISSÉE, DE FIBRES SYNTHÉTIQUES OU ARTIFICIELLES, D'UNE LARGEUR &lt;= 30 CM, N.D.A.")</f>
        <v xml:space="preserve">   RUBANERIE, TISSÉE, DE FIBRES SYNTHÉTIQUES OU ARTIFICIELLES, D'UNE LARGEUR &lt;= 30 CM, N.D.A.</v>
      </c>
      <c r="C8226">
        <v>107223</v>
      </c>
      <c r="D8226">
        <v>29</v>
      </c>
    </row>
    <row r="8227" spans="1:4" x14ac:dyDescent="0.25">
      <c r="A8227" t="str">
        <f>T("   581091")</f>
        <v xml:space="preserve">   581091</v>
      </c>
      <c r="B8227" t="str">
        <f>T("   Broderies de coton, sur support de matières textiles, en pièces, en bandes ou en motifs (à l'excl. des broderies chimiques ou aériennes ainsi que des broderies à fond découpé)")</f>
        <v xml:space="preserve">   Broderies de coton, sur support de matières textiles, en pièces, en bandes ou en motifs (à l'excl. des broderies chimiques ou aériennes ainsi que des broderies à fond découpé)</v>
      </c>
      <c r="C8227">
        <v>3355000</v>
      </c>
      <c r="D8227">
        <v>19</v>
      </c>
    </row>
    <row r="8228" spans="1:4" x14ac:dyDescent="0.25">
      <c r="A8228" t="str">
        <f>T("   581092")</f>
        <v xml:space="preserve">   581092</v>
      </c>
      <c r="B8228" t="str">
        <f>T("   Broderies de fibres synthétiques ou artificielles, sur support de matières textiles, en pièces, en bandes ou en motifs (à l'excl. des broderies chimiques ou aériennes ainsi que des broderies à fond découpé)")</f>
        <v xml:space="preserve">   Broderies de fibres synthétiques ou artificielles, sur support de matières textiles, en pièces, en bandes ou en motifs (à l'excl. des broderies chimiques ou aériennes ainsi que des broderies à fond découpé)</v>
      </c>
      <c r="C8228">
        <v>3353450</v>
      </c>
      <c r="D8228">
        <v>19</v>
      </c>
    </row>
    <row r="8229" spans="1:4" x14ac:dyDescent="0.25">
      <c r="A8229" t="str">
        <f>T("   610190")</f>
        <v xml:space="preserve">   610190</v>
      </c>
      <c r="B8229" t="s">
        <v>253</v>
      </c>
      <c r="C8229">
        <v>16945657</v>
      </c>
      <c r="D8229">
        <v>166</v>
      </c>
    </row>
    <row r="8230" spans="1:4" x14ac:dyDescent="0.25">
      <c r="A8230" t="str">
        <f>T("   610439")</f>
        <v xml:space="preserve">   610439</v>
      </c>
      <c r="B8230" t="str">
        <f>T("   Vestes en bonneterie, de matières textiles, pour femmes ou fillettes (sauf de laine, poils fins, coton ou fibres synthétiques et sauf anoraks et articles simil.)")</f>
        <v xml:space="preserve">   Vestes en bonneterie, de matières textiles, pour femmes ou fillettes (sauf de laine, poils fins, coton ou fibres synthétiques et sauf anoraks et articles simil.)</v>
      </c>
      <c r="C8230">
        <v>5797398</v>
      </c>
      <c r="D8230">
        <v>43</v>
      </c>
    </row>
    <row r="8231" spans="1:4" x14ac:dyDescent="0.25">
      <c r="A8231" t="str">
        <f>T("   610449")</f>
        <v xml:space="preserve">   610449</v>
      </c>
      <c r="B8231" t="str">
        <f>T("   Robes en bonneterie, de matières textiles, pour femmes ou fillettes (sauf de laine, poils fins, coton, fibres synthétiques ou artificielles et sauf combinaisons et fonds de robes)")</f>
        <v xml:space="preserve">   Robes en bonneterie, de matières textiles, pour femmes ou fillettes (sauf de laine, poils fins, coton, fibres synthétiques ou artificielles et sauf combinaisons et fonds de robes)</v>
      </c>
      <c r="C8231">
        <v>4130606</v>
      </c>
      <c r="D8231">
        <v>15</v>
      </c>
    </row>
    <row r="8232" spans="1:4" x14ac:dyDescent="0.25">
      <c r="A8232" t="str">
        <f>T("   610520")</f>
        <v xml:space="preserve">   610520</v>
      </c>
      <c r="B8232" t="str">
        <f>T("   Chemises et chemisettes, en bonneterie, de fibres synthétiques ou artificielles, pour hommes ou garçonnets (sauf chemises de nuit, T-shirts et maillots de corps)")</f>
        <v xml:space="preserve">   Chemises et chemisettes, en bonneterie, de fibres synthétiques ou artificielles, pour hommes ou garçonnets (sauf chemises de nuit, T-shirts et maillots de corps)</v>
      </c>
      <c r="C8232">
        <v>9033</v>
      </c>
      <c r="D8232">
        <v>10</v>
      </c>
    </row>
    <row r="8233" spans="1:4" x14ac:dyDescent="0.25">
      <c r="A8233" t="str">
        <f>T("   610910")</f>
        <v xml:space="preserve">   610910</v>
      </c>
      <c r="B8233" t="str">
        <f>T("   T-shirts et maillots de corps, en bonneterie, de coton,")</f>
        <v xml:space="preserve">   T-shirts et maillots de corps, en bonneterie, de coton,</v>
      </c>
      <c r="C8233">
        <v>3011865</v>
      </c>
      <c r="D8233">
        <v>3761</v>
      </c>
    </row>
    <row r="8234" spans="1:4" x14ac:dyDescent="0.25">
      <c r="A8234" t="str">
        <f>T("   610990")</f>
        <v xml:space="preserve">   610990</v>
      </c>
      <c r="B8234" t="str">
        <f>T("   T-shirts et maillots de corps, en bonneterie, de matières textiles (sauf de coton)")</f>
        <v xml:space="preserve">   T-shirts et maillots de corps, en bonneterie, de matières textiles (sauf de coton)</v>
      </c>
      <c r="C8234">
        <v>133572</v>
      </c>
      <c r="D8234">
        <v>207</v>
      </c>
    </row>
    <row r="8235" spans="1:4" x14ac:dyDescent="0.25">
      <c r="A8235" t="str">
        <f>T("   620329")</f>
        <v xml:space="preserve">   620329</v>
      </c>
      <c r="B8235"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8235">
        <v>16887756</v>
      </c>
      <c r="D8235">
        <v>486</v>
      </c>
    </row>
    <row r="8236" spans="1:4" x14ac:dyDescent="0.25">
      <c r="A8236" t="str">
        <f>T("   620452")</f>
        <v xml:space="preserve">   620452</v>
      </c>
      <c r="B8236" t="str">
        <f>T("   Jupes et jupes-culottes, de coton, pour femmes ou fillettes (autres qu'en bonneterie et sauf jupons)")</f>
        <v xml:space="preserve">   Jupes et jupes-culottes, de coton, pour femmes ou fillettes (autres qu'en bonneterie et sauf jupons)</v>
      </c>
      <c r="C8236">
        <v>43349</v>
      </c>
      <c r="D8236">
        <v>0.6</v>
      </c>
    </row>
    <row r="8237" spans="1:4" x14ac:dyDescent="0.25">
      <c r="A8237" t="str">
        <f>T("   620469")</f>
        <v xml:space="preserve">   620469</v>
      </c>
      <c r="B8237" t="s">
        <v>262</v>
      </c>
      <c r="C8237">
        <v>4731573</v>
      </c>
      <c r="D8237">
        <v>31</v>
      </c>
    </row>
    <row r="8238" spans="1:4" x14ac:dyDescent="0.25">
      <c r="A8238" t="str">
        <f>T("   620590")</f>
        <v xml:space="preserve">   620590</v>
      </c>
      <c r="B823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238">
        <v>2419258</v>
      </c>
      <c r="D8238">
        <v>1320</v>
      </c>
    </row>
    <row r="8239" spans="1:4" x14ac:dyDescent="0.25">
      <c r="A8239" t="str">
        <f>T("   621040")</f>
        <v xml:space="preserve">   621040</v>
      </c>
      <c r="B8239" t="s">
        <v>265</v>
      </c>
      <c r="C8239">
        <v>327980</v>
      </c>
      <c r="D8239">
        <v>3000</v>
      </c>
    </row>
    <row r="8240" spans="1:4" x14ac:dyDescent="0.25">
      <c r="A8240" t="str">
        <f>T("   621410")</f>
        <v xml:space="preserve">   621410</v>
      </c>
      <c r="B8240" t="str">
        <f>T("   Châles, écharpes, foulards, cache-nez, cache-col, mantilles, voiles et voilettes et articles simil., de soie ou de déchets de soie (autres qu'en bonneterie)")</f>
        <v xml:space="preserve">   Châles, écharpes, foulards, cache-nez, cache-col, mantilles, voiles et voilettes et articles simil., de soie ou de déchets de soie (autres qu'en bonneterie)</v>
      </c>
      <c r="C8240">
        <v>411808</v>
      </c>
      <c r="D8240">
        <v>0.4</v>
      </c>
    </row>
    <row r="8241" spans="1:4" x14ac:dyDescent="0.25">
      <c r="A8241" t="str">
        <f>T("   621710")</f>
        <v xml:space="preserve">   621710</v>
      </c>
      <c r="B8241" t="str">
        <f>T("   Accessoires confectionnés du vêtement en tous types de matières textiles, n.d.a. (autres qu'en bonneterie)")</f>
        <v xml:space="preserve">   Accessoires confectionnés du vêtement en tous types de matières textiles, n.d.a. (autres qu'en bonneterie)</v>
      </c>
      <c r="C8241">
        <v>1087922</v>
      </c>
      <c r="D8241">
        <v>5</v>
      </c>
    </row>
    <row r="8242" spans="1:4" x14ac:dyDescent="0.25">
      <c r="A8242" t="str">
        <f>T("   630231")</f>
        <v xml:space="preserve">   630231</v>
      </c>
      <c r="B8242" t="str">
        <f>T("   Linge de lit de coton (autre qu'imprimé, autre qu'en bonneterie)")</f>
        <v xml:space="preserve">   Linge de lit de coton (autre qu'imprimé, autre qu'en bonneterie)</v>
      </c>
      <c r="C8242">
        <v>119292</v>
      </c>
      <c r="D8242">
        <v>3</v>
      </c>
    </row>
    <row r="8243" spans="1:4" x14ac:dyDescent="0.25">
      <c r="A8243" t="str">
        <f>T("   630720")</f>
        <v xml:space="preserve">   630720</v>
      </c>
      <c r="B8243" t="str">
        <f>T("   Ceintures et gilets de sauvetage en tous types de matières textiles")</f>
        <v xml:space="preserve">   Ceintures et gilets de sauvetage en tous types de matières textiles</v>
      </c>
      <c r="C8243">
        <v>1822657</v>
      </c>
      <c r="D8243">
        <v>889</v>
      </c>
    </row>
    <row r="8244" spans="1:4" x14ac:dyDescent="0.25">
      <c r="A8244" t="str">
        <f>T("   630790")</f>
        <v xml:space="preserve">   630790</v>
      </c>
      <c r="B8244" t="str">
        <f>T("   Articles de matières textiles, confectionnés, y.c. les patrons de vêtements n.d.a.")</f>
        <v xml:space="preserve">   Articles de matières textiles, confectionnés, y.c. les patrons de vêtements n.d.a.</v>
      </c>
      <c r="C8244">
        <v>104176</v>
      </c>
      <c r="D8244">
        <v>52</v>
      </c>
    </row>
    <row r="8245" spans="1:4" x14ac:dyDescent="0.25">
      <c r="A8245" t="str">
        <f>T("   630900")</f>
        <v xml:space="preserve">   630900</v>
      </c>
      <c r="B8245" t="s">
        <v>273</v>
      </c>
      <c r="C8245">
        <v>343994223</v>
      </c>
      <c r="D8245">
        <v>673150</v>
      </c>
    </row>
    <row r="8246" spans="1:4" x14ac:dyDescent="0.25">
      <c r="A8246" t="str">
        <f>T("   640590")</f>
        <v xml:space="preserve">   640590</v>
      </c>
      <c r="B8246" t="s">
        <v>283</v>
      </c>
      <c r="C8246">
        <v>1024610</v>
      </c>
      <c r="D8246">
        <v>101</v>
      </c>
    </row>
    <row r="8247" spans="1:4" x14ac:dyDescent="0.25">
      <c r="A8247" t="str">
        <f>T("   650590")</f>
        <v xml:space="preserve">   650590</v>
      </c>
      <c r="B8247" t="s">
        <v>284</v>
      </c>
      <c r="C8247">
        <v>122626</v>
      </c>
      <c r="D8247">
        <v>3540</v>
      </c>
    </row>
    <row r="8248" spans="1:4" x14ac:dyDescent="0.25">
      <c r="A8248" t="str">
        <f>T("   650699")</f>
        <v xml:space="preserve">   650699</v>
      </c>
      <c r="B8248" t="str">
        <f>T("   Chapeaux et autres coiffures, même garnis, n.d.a.")</f>
        <v xml:space="preserve">   Chapeaux et autres coiffures, même garnis, n.d.a.</v>
      </c>
      <c r="C8248">
        <v>27184</v>
      </c>
      <c r="D8248">
        <v>13</v>
      </c>
    </row>
    <row r="8249" spans="1:4" x14ac:dyDescent="0.25">
      <c r="A8249" t="str">
        <f>T("   660110")</f>
        <v xml:space="preserve">   660110</v>
      </c>
      <c r="B8249" t="str">
        <f>T("   Parasols de jardin et articles simil. (sauf tentes de plage)")</f>
        <v xml:space="preserve">   Parasols de jardin et articles simil. (sauf tentes de plage)</v>
      </c>
      <c r="C8249">
        <v>38432</v>
      </c>
      <c r="D8249">
        <v>15</v>
      </c>
    </row>
    <row r="8250" spans="1:4" x14ac:dyDescent="0.25">
      <c r="A8250" t="str">
        <f>T("   660191")</f>
        <v xml:space="preserve">   660191</v>
      </c>
      <c r="B8250" t="str">
        <f>T("   Parapluies, y.c. les parapluies-cannes et ombrelles, à mât ou à manche télescopique (sauf jouets d'enfants)")</f>
        <v xml:space="preserve">   Parapluies, y.c. les parapluies-cannes et ombrelles, à mât ou à manche télescopique (sauf jouets d'enfants)</v>
      </c>
      <c r="C8250">
        <v>56485</v>
      </c>
      <c r="D8250">
        <v>20</v>
      </c>
    </row>
    <row r="8251" spans="1:4" x14ac:dyDescent="0.25">
      <c r="A8251" t="str">
        <f>T("   660199")</f>
        <v xml:space="preserve">   660199</v>
      </c>
      <c r="B8251"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8251">
        <v>118052</v>
      </c>
      <c r="D8251">
        <v>214</v>
      </c>
    </row>
    <row r="8252" spans="1:4" x14ac:dyDescent="0.25">
      <c r="A8252" t="str">
        <f>T("   681011")</f>
        <v xml:space="preserve">   681011</v>
      </c>
      <c r="B8252" t="str">
        <f>T("   Blocs et briques pour la construction, en ciment, en béton ou en pierre artificielle, même armés")</f>
        <v xml:space="preserve">   Blocs et briques pour la construction, en ciment, en béton ou en pierre artificielle, même armés</v>
      </c>
      <c r="C8252">
        <v>110579736</v>
      </c>
      <c r="D8252">
        <v>1100000</v>
      </c>
    </row>
    <row r="8253" spans="1:4" x14ac:dyDescent="0.25">
      <c r="A8253" t="str">
        <f>T("   691090")</f>
        <v xml:space="preserve">   691090</v>
      </c>
      <c r="B8253" t="s">
        <v>310</v>
      </c>
      <c r="C8253">
        <v>496122</v>
      </c>
      <c r="D8253">
        <v>12</v>
      </c>
    </row>
    <row r="8254" spans="1:4" x14ac:dyDescent="0.25">
      <c r="A8254" t="str">
        <f>T("   700529")</f>
        <v xml:space="preserve">   700529</v>
      </c>
      <c r="B8254" t="s">
        <v>315</v>
      </c>
      <c r="C8254">
        <v>11926976</v>
      </c>
      <c r="D8254">
        <v>78179</v>
      </c>
    </row>
    <row r="8255" spans="1:4" x14ac:dyDescent="0.25">
      <c r="A8255" t="str">
        <f>T("   702000")</f>
        <v xml:space="preserve">   702000</v>
      </c>
      <c r="B8255" t="str">
        <f>T("   Ouvrages en verre n.d.a.")</f>
        <v xml:space="preserve">   Ouvrages en verre n.d.a.</v>
      </c>
      <c r="C8255">
        <v>7270005</v>
      </c>
      <c r="D8255">
        <v>300</v>
      </c>
    </row>
    <row r="8256" spans="1:4" x14ac:dyDescent="0.25">
      <c r="A8256" t="str">
        <f>T("   711719")</f>
        <v xml:space="preserve">   711719</v>
      </c>
      <c r="B8256" t="str">
        <f>T("   Bijouterie de fantaisie en métaux communs, même argentés, dorés ou platinés (à l'excl. des boutons de manchettes et des boutons simil.)")</f>
        <v xml:space="preserve">   Bijouterie de fantaisie en métaux communs, même argentés, dorés ou platinés (à l'excl. des boutons de manchettes et des boutons simil.)</v>
      </c>
      <c r="C8256">
        <v>83556</v>
      </c>
      <c r="D8256">
        <v>10</v>
      </c>
    </row>
    <row r="8257" spans="1:4" x14ac:dyDescent="0.25">
      <c r="A8257" t="str">
        <f>T("   711790")</f>
        <v xml:space="preserve">   711790</v>
      </c>
      <c r="B8257" t="str">
        <f>T("   Bijouterie de fantaisie (autre qu'en métaux communs, même argentés, dorés ou platinés)")</f>
        <v xml:space="preserve">   Bijouterie de fantaisie (autre qu'en métaux communs, même argentés, dorés ou platinés)</v>
      </c>
      <c r="C8257">
        <v>548812</v>
      </c>
      <c r="D8257">
        <v>4</v>
      </c>
    </row>
    <row r="8258" spans="1:4" x14ac:dyDescent="0.25">
      <c r="A8258" t="str">
        <f>T("   721049")</f>
        <v xml:space="preserve">   721049</v>
      </c>
      <c r="B8258"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8258">
        <v>123001823</v>
      </c>
      <c r="D8258">
        <v>261835</v>
      </c>
    </row>
    <row r="8259" spans="1:4" x14ac:dyDescent="0.25">
      <c r="A8259" t="str">
        <f>T("   730799")</f>
        <v xml:space="preserve">   730799</v>
      </c>
      <c r="B8259"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8259">
        <v>1974689</v>
      </c>
      <c r="D8259">
        <v>48</v>
      </c>
    </row>
    <row r="8260" spans="1:4" x14ac:dyDescent="0.25">
      <c r="A8260" t="str">
        <f>T("   731300")</f>
        <v xml:space="preserve">   731300</v>
      </c>
      <c r="B8260" t="str">
        <f>T("   Ronces artificielles en fer ou en acier; torsades, barbelées ou non, en fils ou en feuillard de fer ou d'acier, des types utilisés pour les clôtures")</f>
        <v xml:space="preserve">   Ronces artificielles en fer ou en acier; torsades, barbelées ou non, en fils ou en feuillard de fer ou d'acier, des types utilisés pour les clôtures</v>
      </c>
      <c r="C8260">
        <v>4641278</v>
      </c>
      <c r="D8260">
        <v>19522</v>
      </c>
    </row>
    <row r="8261" spans="1:4" x14ac:dyDescent="0.25">
      <c r="A8261" t="str">
        <f>T("   731439")</f>
        <v xml:space="preserve">   731439</v>
      </c>
      <c r="B8261" t="str">
        <f>T("   Grillages et treillis, en fils de fer ou d'acier, soudés aux points de rencontre (sauf en fils dont la plus grande dimension de la coupe transversale est &gt;= 3 mm avec une surface de mailles &gt;= 100 cm² et autres que zingués)")</f>
        <v xml:space="preserve">   Grillages et treillis, en fils de fer ou d'acier, soudés aux points de rencontre (sauf en fils dont la plus grande dimension de la coupe transversale est &gt;= 3 mm avec une surface de mailles &gt;= 100 cm² et autres que zingués)</v>
      </c>
      <c r="C8261">
        <v>4083247</v>
      </c>
      <c r="D8261">
        <v>16953</v>
      </c>
    </row>
    <row r="8262" spans="1:4" x14ac:dyDescent="0.25">
      <c r="A8262" t="str">
        <f>T("   731441")</f>
        <v xml:space="preserve">   731441</v>
      </c>
      <c r="B8262" t="str">
        <f>T("   GRILLAGES ET TREILLIS, EN FILS DE FER OU D'ACIER, NON-SOUDÉS AUX POINTS DE RENCONTRE, ZINGUÉS")</f>
        <v xml:space="preserve">   GRILLAGES ET TREILLIS, EN FILS DE FER OU D'ACIER, NON-SOUDÉS AUX POINTS DE RENCONTRE, ZINGUÉS</v>
      </c>
      <c r="C8262">
        <v>3973883</v>
      </c>
      <c r="D8262">
        <v>2928</v>
      </c>
    </row>
    <row r="8263" spans="1:4" x14ac:dyDescent="0.25">
      <c r="A8263" t="str">
        <f>T("   731442")</f>
        <v xml:space="preserve">   731442</v>
      </c>
      <c r="B8263" t="str">
        <f>T("   GRILLAGES ET TREILLIS, EN FILS DE FER OU D'ACIER, NON-SOUDÉS AUX POINTS DE RENCONTRE, RECOUVERTS DE MATIÈRES PLASTIQUES")</f>
        <v xml:space="preserve">   GRILLAGES ET TREILLIS, EN FILS DE FER OU D'ACIER, NON-SOUDÉS AUX POINTS DE RENCONTRE, RECOUVERTS DE MATIÈRES PLASTIQUES</v>
      </c>
      <c r="C8263">
        <v>2794932</v>
      </c>
      <c r="D8263">
        <v>2440</v>
      </c>
    </row>
    <row r="8264" spans="1:4" x14ac:dyDescent="0.25">
      <c r="A8264" t="str">
        <f>T("   731449")</f>
        <v xml:space="preserve">   731449</v>
      </c>
      <c r="B8264"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8264">
        <v>5414364</v>
      </c>
      <c r="D8264">
        <v>12154</v>
      </c>
    </row>
    <row r="8265" spans="1:4" x14ac:dyDescent="0.25">
      <c r="A8265" t="str">
        <f>T("   731589")</f>
        <v xml:space="preserve">   731589</v>
      </c>
      <c r="B8265" t="s">
        <v>353</v>
      </c>
      <c r="C8265">
        <v>8417103</v>
      </c>
      <c r="D8265">
        <v>14393</v>
      </c>
    </row>
    <row r="8266" spans="1:4" x14ac:dyDescent="0.25">
      <c r="A8266" t="str">
        <f>T("   731815")</f>
        <v xml:space="preserve">   731815</v>
      </c>
      <c r="B8266" t="s">
        <v>354</v>
      </c>
      <c r="C8266">
        <v>13849402</v>
      </c>
      <c r="D8266">
        <v>437</v>
      </c>
    </row>
    <row r="8267" spans="1:4" x14ac:dyDescent="0.25">
      <c r="A8267" t="str">
        <f>T("   731816")</f>
        <v xml:space="preserve">   731816</v>
      </c>
      <c r="B8267" t="str">
        <f>T("   ÉCROUS EN FONTE, FER OU ACIER")</f>
        <v xml:space="preserve">   ÉCROUS EN FONTE, FER OU ACIER</v>
      </c>
      <c r="C8267">
        <v>187257</v>
      </c>
      <c r="D8267">
        <v>6</v>
      </c>
    </row>
    <row r="8268" spans="1:4" x14ac:dyDescent="0.25">
      <c r="A8268" t="str">
        <f>T("   732394")</f>
        <v xml:space="preserve">   732394</v>
      </c>
      <c r="B8268" t="s">
        <v>362</v>
      </c>
      <c r="C8268">
        <v>3675912</v>
      </c>
      <c r="D8268">
        <v>2060</v>
      </c>
    </row>
    <row r="8269" spans="1:4" x14ac:dyDescent="0.25">
      <c r="A8269" t="str">
        <f>T("   732399")</f>
        <v xml:space="preserve">   732399</v>
      </c>
      <c r="B8269" t="s">
        <v>363</v>
      </c>
      <c r="C8269">
        <v>327980</v>
      </c>
      <c r="D8269">
        <v>4500</v>
      </c>
    </row>
    <row r="8270" spans="1:4" x14ac:dyDescent="0.25">
      <c r="A8270" t="str">
        <f>T("   732490")</f>
        <v xml:space="preserve">   732490</v>
      </c>
      <c r="B8270" t="s">
        <v>364</v>
      </c>
      <c r="C8270">
        <v>1885216</v>
      </c>
      <c r="D8270">
        <v>533</v>
      </c>
    </row>
    <row r="8271" spans="1:4" x14ac:dyDescent="0.25">
      <c r="A8271" t="str">
        <f>T("   732690")</f>
        <v xml:space="preserve">   732690</v>
      </c>
      <c r="B8271"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8271">
        <v>10154097</v>
      </c>
      <c r="D8271">
        <v>4953</v>
      </c>
    </row>
    <row r="8272" spans="1:4" x14ac:dyDescent="0.25">
      <c r="A8272" t="str">
        <f>T("   740721")</f>
        <v xml:space="preserve">   740721</v>
      </c>
      <c r="B8272" t="str">
        <f>T("   Barres et profilés en alliages à base de cuivre-zinc -laiton-, n.d.a.")</f>
        <v xml:space="preserve">   Barres et profilés en alliages à base de cuivre-zinc -laiton-, n.d.a.</v>
      </c>
      <c r="C8272">
        <v>3254283</v>
      </c>
      <c r="D8272">
        <v>1185</v>
      </c>
    </row>
    <row r="8273" spans="1:4" x14ac:dyDescent="0.25">
      <c r="A8273" t="str">
        <f>T("   761010")</f>
        <v xml:space="preserve">   761010</v>
      </c>
      <c r="B8273" t="str">
        <f>T("   Portes, fenêtres et leurs cadres, chambranles et seuils, en aluminium (sauf pièces de garnissage)")</f>
        <v xml:space="preserve">   Portes, fenêtres et leurs cadres, chambranles et seuils, en aluminium (sauf pièces de garnissage)</v>
      </c>
      <c r="C8273">
        <v>10374519</v>
      </c>
      <c r="D8273">
        <v>560</v>
      </c>
    </row>
    <row r="8274" spans="1:4" x14ac:dyDescent="0.25">
      <c r="A8274" t="str">
        <f>T("   761699")</f>
        <v xml:space="preserve">   761699</v>
      </c>
      <c r="B8274" t="str">
        <f>T("   Ouvrages en aluminium, n.d.a.")</f>
        <v xml:space="preserve">   Ouvrages en aluminium, n.d.a.</v>
      </c>
      <c r="C8274">
        <v>48895</v>
      </c>
      <c r="D8274">
        <v>2</v>
      </c>
    </row>
    <row r="8275" spans="1:4" x14ac:dyDescent="0.25">
      <c r="A8275" t="str">
        <f>T("   820412")</f>
        <v xml:space="preserve">   820412</v>
      </c>
      <c r="B8275" t="str">
        <f>T("   Clés de serrage à main, y.c. -les clés dynamométriques-, en métaux communs, à ouverture variable")</f>
        <v xml:space="preserve">   Clés de serrage à main, y.c. -les clés dynamométriques-, en métaux communs, à ouverture variable</v>
      </c>
      <c r="C8275">
        <v>2526102</v>
      </c>
      <c r="D8275">
        <v>1232</v>
      </c>
    </row>
    <row r="8276" spans="1:4" x14ac:dyDescent="0.25">
      <c r="A8276" t="str">
        <f>T("   820559")</f>
        <v xml:space="preserve">   820559</v>
      </c>
      <c r="B8276" t="str">
        <f>T("   Outils à main, y.c. -les diamants de vitrier-, en métaux communs, n.d.a.")</f>
        <v xml:space="preserve">   Outils à main, y.c. -les diamants de vitrier-, en métaux communs, n.d.a.</v>
      </c>
      <c r="C8276">
        <v>9256251</v>
      </c>
      <c r="D8276">
        <v>15826</v>
      </c>
    </row>
    <row r="8277" spans="1:4" x14ac:dyDescent="0.25">
      <c r="A8277" t="str">
        <f>T("   820790")</f>
        <v xml:space="preserve">   820790</v>
      </c>
      <c r="B8277" t="str">
        <f>T("   Outils interchangeables pour outillage à main, mécanique ou non, ou pour machines-outils, n.d.a.")</f>
        <v xml:space="preserve">   Outils interchangeables pour outillage à main, mécanique ou non, ou pour machines-outils, n.d.a.</v>
      </c>
      <c r="C8277">
        <v>11636730</v>
      </c>
      <c r="D8277">
        <v>600</v>
      </c>
    </row>
    <row r="8278" spans="1:4" x14ac:dyDescent="0.25">
      <c r="A8278" t="str">
        <f>T("   830230")</f>
        <v xml:space="preserve">   830230</v>
      </c>
      <c r="B8278" t="str">
        <f>T("   Garnitures, ferrures et simil. en métaux communs, pour véhicules automobiles (sauf charnières et serrures)")</f>
        <v xml:space="preserve">   Garnitures, ferrures et simil. en métaux communs, pour véhicules automobiles (sauf charnières et serrures)</v>
      </c>
      <c r="C8278">
        <v>711264</v>
      </c>
      <c r="D8278">
        <v>80</v>
      </c>
    </row>
    <row r="8279" spans="1:4" x14ac:dyDescent="0.25">
      <c r="A8279" t="str">
        <f>T("   830300")</f>
        <v xml:space="preserve">   830300</v>
      </c>
      <c r="B8279"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8279">
        <v>27836867</v>
      </c>
      <c r="D8279">
        <v>22183</v>
      </c>
    </row>
    <row r="8280" spans="1:4" x14ac:dyDescent="0.25">
      <c r="A8280" t="str">
        <f>T("   831110")</f>
        <v xml:space="preserve">   831110</v>
      </c>
      <c r="B8280" t="str">
        <f>T("   ÉLECTRODES ENROBÉES EN MÉTAUX COMMUNS, POUR LE SOUDAGE À L'ARC")</f>
        <v xml:space="preserve">   ÉLECTRODES ENROBÉES EN MÉTAUX COMMUNS, POUR LE SOUDAGE À L'ARC</v>
      </c>
      <c r="C8280">
        <v>1756005</v>
      </c>
      <c r="D8280">
        <v>336</v>
      </c>
    </row>
    <row r="8281" spans="1:4" x14ac:dyDescent="0.25">
      <c r="A8281" t="str">
        <f>T("   840890")</f>
        <v xml:space="preserve">   840890</v>
      </c>
      <c r="B8281" t="s">
        <v>394</v>
      </c>
      <c r="C8281">
        <v>10136996</v>
      </c>
      <c r="D8281">
        <v>700</v>
      </c>
    </row>
    <row r="8282" spans="1:4" x14ac:dyDescent="0.25">
      <c r="A8282" t="str">
        <f>T("   840999")</f>
        <v xml:space="preserve">   840999</v>
      </c>
      <c r="B8282"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8282">
        <v>14483956</v>
      </c>
      <c r="D8282">
        <v>915.7</v>
      </c>
    </row>
    <row r="8283" spans="1:4" x14ac:dyDescent="0.25">
      <c r="A8283" t="str">
        <f>T("   841381")</f>
        <v xml:space="preserve">   841381</v>
      </c>
      <c r="B8283" t="s">
        <v>398</v>
      </c>
      <c r="C8283">
        <v>31666404</v>
      </c>
      <c r="D8283">
        <v>3557</v>
      </c>
    </row>
    <row r="8284" spans="1:4" x14ac:dyDescent="0.25">
      <c r="A8284" t="str">
        <f>T("   841430")</f>
        <v xml:space="preserve">   841430</v>
      </c>
      <c r="B8284" t="str">
        <f>T("   Compresseurs des types utilisés pour équipements frigorifiques")</f>
        <v xml:space="preserve">   Compresseurs des types utilisés pour équipements frigorifiques</v>
      </c>
      <c r="C8284">
        <v>1674258</v>
      </c>
      <c r="D8284">
        <v>1000</v>
      </c>
    </row>
    <row r="8285" spans="1:4" x14ac:dyDescent="0.25">
      <c r="A8285" t="str">
        <f>T("   841440")</f>
        <v xml:space="preserve">   841440</v>
      </c>
      <c r="B8285" t="str">
        <f>T("   Compresseurs d'air montés sur châssis à roues et remorquables")</f>
        <v xml:space="preserve">   Compresseurs d'air montés sur châssis à roues et remorquables</v>
      </c>
      <c r="C8285">
        <v>3902221</v>
      </c>
      <c r="D8285">
        <v>167</v>
      </c>
    </row>
    <row r="8286" spans="1:4" x14ac:dyDescent="0.25">
      <c r="A8286" t="str">
        <f>T("   841810")</f>
        <v xml:space="preserve">   841810</v>
      </c>
      <c r="B8286" t="str">
        <f>T("   Réfrigérateurs et congélateurs-conservateurs combinés, avec portes extérieures séparées")</f>
        <v xml:space="preserve">   Réfrigérateurs et congélateurs-conservateurs combinés, avec portes extérieures séparées</v>
      </c>
      <c r="C8286">
        <v>3880000</v>
      </c>
      <c r="D8286">
        <v>5500</v>
      </c>
    </row>
    <row r="8287" spans="1:4" x14ac:dyDescent="0.25">
      <c r="A8287" t="str">
        <f>T("   841829")</f>
        <v xml:space="preserve">   841829</v>
      </c>
      <c r="B8287" t="str">
        <f>T("   Réfrigérateurs ménagers à absorption, non-électriques")</f>
        <v xml:space="preserve">   Réfrigérateurs ménagers à absorption, non-électriques</v>
      </c>
      <c r="C8287">
        <v>631689</v>
      </c>
      <c r="D8287">
        <v>5000</v>
      </c>
    </row>
    <row r="8288" spans="1:4" x14ac:dyDescent="0.25">
      <c r="A8288" t="str">
        <f>T("   842139")</f>
        <v xml:space="preserve">   842139</v>
      </c>
      <c r="B8288"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8288">
        <v>759995</v>
      </c>
      <c r="D8288">
        <v>85</v>
      </c>
    </row>
    <row r="8289" spans="1:4" x14ac:dyDescent="0.25">
      <c r="A8289" t="str">
        <f>T("   842199")</f>
        <v xml:space="preserve">   842199</v>
      </c>
      <c r="B8289" t="str">
        <f>T("   Parties d'appareils pour la filtration ou l'épuration des liquides ou des gaz, n.d.a.")</f>
        <v xml:space="preserve">   Parties d'appareils pour la filtration ou l'épuration des liquides ou des gaz, n.d.a.</v>
      </c>
      <c r="C8289">
        <v>52024</v>
      </c>
      <c r="D8289">
        <v>2</v>
      </c>
    </row>
    <row r="8290" spans="1:4" x14ac:dyDescent="0.25">
      <c r="A8290" t="str">
        <f>T("   842211")</f>
        <v xml:space="preserve">   842211</v>
      </c>
      <c r="B8290" t="str">
        <f>T("   Machines à laver la vaisselle, de type ménager")</f>
        <v xml:space="preserve">   Machines à laver la vaisselle, de type ménager</v>
      </c>
      <c r="C8290">
        <v>450000</v>
      </c>
      <c r="D8290">
        <v>1500</v>
      </c>
    </row>
    <row r="8291" spans="1:4" x14ac:dyDescent="0.25">
      <c r="A8291" t="str">
        <f>T("   842220")</f>
        <v xml:space="preserve">   842220</v>
      </c>
      <c r="B8291" t="str">
        <f>T("   Machines et appareils à nettoyer ou à sécher les bouteilles ou autres récipients (à l'excl. des machines à laver la vaisselle)")</f>
        <v xml:space="preserve">   Machines et appareils à nettoyer ou à sécher les bouteilles ou autres récipients (à l'excl. des machines à laver la vaisselle)</v>
      </c>
      <c r="C8291">
        <v>2853426</v>
      </c>
      <c r="D8291">
        <v>100</v>
      </c>
    </row>
    <row r="8292" spans="1:4" x14ac:dyDescent="0.25">
      <c r="A8292" t="str">
        <f>T("   842389")</f>
        <v xml:space="preserve">   842389</v>
      </c>
      <c r="B8292" t="str">
        <f>T("   Appareils et instruments de pesage, portée &gt; 5000 kg")</f>
        <v xml:space="preserve">   Appareils et instruments de pesage, portée &gt; 5000 kg</v>
      </c>
      <c r="C8292">
        <v>27201874</v>
      </c>
      <c r="D8292">
        <v>266</v>
      </c>
    </row>
    <row r="8293" spans="1:4" x14ac:dyDescent="0.25">
      <c r="A8293" t="str">
        <f>T("   842541")</f>
        <v xml:space="preserve">   842541</v>
      </c>
      <c r="B8293" t="str">
        <f>T("   Elévateurs fixes des types utilisés dans les garages pour voitures")</f>
        <v xml:space="preserve">   Elévateurs fixes des types utilisés dans les garages pour voitures</v>
      </c>
      <c r="C8293">
        <v>17751341</v>
      </c>
      <c r="D8293">
        <v>1042</v>
      </c>
    </row>
    <row r="8294" spans="1:4" x14ac:dyDescent="0.25">
      <c r="A8294" t="str">
        <f>T("   842549")</f>
        <v xml:space="preserve">   842549</v>
      </c>
      <c r="B8294" t="str">
        <f>T("   Crics et vérins, non hydrauliques")</f>
        <v xml:space="preserve">   Crics et vérins, non hydrauliques</v>
      </c>
      <c r="C8294">
        <v>837136</v>
      </c>
      <c r="D8294">
        <v>645.23</v>
      </c>
    </row>
    <row r="8295" spans="1:4" x14ac:dyDescent="0.25">
      <c r="A8295" t="str">
        <f>T("   842720")</f>
        <v xml:space="preserve">   842720</v>
      </c>
      <c r="B8295" t="str">
        <f>T("   Chariots de manutention autopropulsés, autres qu'à moteur électrique, avec dispositif de levage")</f>
        <v xml:space="preserve">   Chariots de manutention autopropulsés, autres qu'à moteur électrique, avec dispositif de levage</v>
      </c>
      <c r="C8295">
        <v>31271581</v>
      </c>
      <c r="D8295">
        <v>2520</v>
      </c>
    </row>
    <row r="8296" spans="1:4" x14ac:dyDescent="0.25">
      <c r="A8296" t="str">
        <f>T("   842890")</f>
        <v xml:space="preserve">   842890</v>
      </c>
      <c r="B8296" t="str">
        <f>T("   Machines et appareils de levage, chargement, déchargement ou manutention, n.d.a.")</f>
        <v xml:space="preserve">   Machines et appareils de levage, chargement, déchargement ou manutention, n.d.a.</v>
      </c>
      <c r="C8296">
        <v>17525651</v>
      </c>
      <c r="D8296">
        <v>11301</v>
      </c>
    </row>
    <row r="8297" spans="1:4" x14ac:dyDescent="0.25">
      <c r="A8297" t="str">
        <f>T("   842940")</f>
        <v xml:space="preserve">   842940</v>
      </c>
      <c r="B8297" t="str">
        <f>T("   Rouleaux compresseurs et autres compacteuses, autopropulsés")</f>
        <v xml:space="preserve">   Rouleaux compresseurs et autres compacteuses, autopropulsés</v>
      </c>
      <c r="C8297">
        <v>4890036</v>
      </c>
      <c r="D8297">
        <v>947</v>
      </c>
    </row>
    <row r="8298" spans="1:4" x14ac:dyDescent="0.25">
      <c r="A8298" t="str">
        <f>T("   842959")</f>
        <v xml:space="preserve">   842959</v>
      </c>
      <c r="B8298"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8298">
        <v>190373367</v>
      </c>
      <c r="D8298">
        <v>44600</v>
      </c>
    </row>
    <row r="8299" spans="1:4" x14ac:dyDescent="0.25">
      <c r="A8299" t="str">
        <f>T("   843061")</f>
        <v xml:space="preserve">   843061</v>
      </c>
      <c r="B8299" t="str">
        <f>T("   Machines et appareils à tasser ou à compacter, non autopropulsés (sauf outillage pour emploi à la main)")</f>
        <v xml:space="preserve">   Machines et appareils à tasser ou à compacter, non autopropulsés (sauf outillage pour emploi à la main)</v>
      </c>
      <c r="C8299">
        <v>5838044</v>
      </c>
      <c r="D8299">
        <v>2500</v>
      </c>
    </row>
    <row r="8300" spans="1:4" x14ac:dyDescent="0.25">
      <c r="A8300" t="str">
        <f>T("   843120")</f>
        <v xml:space="preserve">   843120</v>
      </c>
      <c r="B8300" t="str">
        <f>T("   Parties de chariots-gerbeurs et autres chariots de manutention munis d'un dispositif de levage, n.d.a.")</f>
        <v xml:space="preserve">   Parties de chariots-gerbeurs et autres chariots de manutention munis d'un dispositif de levage, n.d.a.</v>
      </c>
      <c r="C8300">
        <v>37895694</v>
      </c>
      <c r="D8300">
        <v>1121.1500000000001</v>
      </c>
    </row>
    <row r="8301" spans="1:4" x14ac:dyDescent="0.25">
      <c r="A8301" t="str">
        <f>T("   843139")</f>
        <v xml:space="preserve">   843139</v>
      </c>
      <c r="B8301" t="str">
        <f>T("   Parties de machines et appareils du n° 8428, n.d.a.")</f>
        <v xml:space="preserve">   Parties de machines et appareils du n° 8428, n.d.a.</v>
      </c>
      <c r="C8301">
        <v>2742208</v>
      </c>
      <c r="D8301">
        <v>119</v>
      </c>
    </row>
    <row r="8302" spans="1:4" x14ac:dyDescent="0.25">
      <c r="A8302" t="str">
        <f>T("   843141")</f>
        <v xml:space="preserve">   843141</v>
      </c>
      <c r="B8302" t="str">
        <f>T("   Godets, bennes, bennes-preneuses, pelles, grappins et pinces pour machines et appareils du n° 8426, 8429 ou 8430")</f>
        <v xml:space="preserve">   Godets, bennes, bennes-preneuses, pelles, grappins et pinces pour machines et appareils du n° 8426, 8429 ou 8430</v>
      </c>
      <c r="C8302">
        <v>39685580</v>
      </c>
      <c r="D8302">
        <v>9300</v>
      </c>
    </row>
    <row r="8303" spans="1:4" x14ac:dyDescent="0.25">
      <c r="A8303" t="str">
        <f>T("   843142")</f>
        <v xml:space="preserve">   843142</v>
      </c>
      <c r="B8303" t="str">
        <f>T("   Lames de bouteurs 'bulldozers' ou de bouteurs biais 'angledozers', n.d.a.")</f>
        <v xml:space="preserve">   Lames de bouteurs 'bulldozers' ou de bouteurs biais 'angledozers', n.d.a.</v>
      </c>
      <c r="C8303">
        <v>50215</v>
      </c>
      <c r="D8303">
        <v>1000</v>
      </c>
    </row>
    <row r="8304" spans="1:4" x14ac:dyDescent="0.25">
      <c r="A8304" t="str">
        <f>T("   843149")</f>
        <v xml:space="preserve">   843149</v>
      </c>
      <c r="B8304" t="str">
        <f>T("   Parties de machines et appareils du n° 8426, 8429 ou 8430, n.d.a.")</f>
        <v xml:space="preserve">   Parties de machines et appareils du n° 8426, 8429 ou 8430, n.d.a.</v>
      </c>
      <c r="C8304">
        <v>70489993</v>
      </c>
      <c r="D8304">
        <v>21588</v>
      </c>
    </row>
    <row r="8305" spans="1:4" x14ac:dyDescent="0.25">
      <c r="A8305" t="str">
        <f>T("   843319")</f>
        <v xml:space="preserve">   843319</v>
      </c>
      <c r="B8305" t="str">
        <f>T("   Tondeuses à gazon à moteur, dont le dispositif de coupe tourne dans un plan vertical, ou à barre de coupe")</f>
        <v xml:space="preserve">   Tondeuses à gazon à moteur, dont le dispositif de coupe tourne dans un plan vertical, ou à barre de coupe</v>
      </c>
      <c r="C8305">
        <v>768580</v>
      </c>
      <c r="D8305">
        <v>341</v>
      </c>
    </row>
    <row r="8306" spans="1:4" x14ac:dyDescent="0.25">
      <c r="A8306" t="str">
        <f>T("   843390")</f>
        <v xml:space="preserve">   843390</v>
      </c>
      <c r="B8306"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8306">
        <v>84619</v>
      </c>
      <c r="D8306">
        <v>3</v>
      </c>
    </row>
    <row r="8307" spans="1:4" x14ac:dyDescent="0.25">
      <c r="A8307" t="str">
        <f>T("   844359")</f>
        <v xml:space="preserve">   844359</v>
      </c>
      <c r="B8307" t="s">
        <v>421</v>
      </c>
      <c r="C8307">
        <v>12229062</v>
      </c>
      <c r="D8307">
        <v>300</v>
      </c>
    </row>
    <row r="8308" spans="1:4" x14ac:dyDescent="0.25">
      <c r="A8308" t="str">
        <f>T("   845090")</f>
        <v xml:space="preserve">   845090</v>
      </c>
      <c r="B8308" t="str">
        <f>T("   Parties de machines à laver le linge, n.d.a.")</f>
        <v xml:space="preserve">   Parties de machines à laver le linge, n.d.a.</v>
      </c>
      <c r="C8308">
        <v>465731</v>
      </c>
      <c r="D8308">
        <v>3.16</v>
      </c>
    </row>
    <row r="8309" spans="1:4" x14ac:dyDescent="0.25">
      <c r="A8309" t="str">
        <f>T("   845140")</f>
        <v xml:space="preserve">   845140</v>
      </c>
      <c r="B8309" t="str">
        <f>T("   Machines et appareils pour le lavage, le blanchiment ou la teinture de fils, tissus ou autres ouvrages en matières textiles (sauf machines à laver le linge)")</f>
        <v xml:space="preserve">   Machines et appareils pour le lavage, le blanchiment ou la teinture de fils, tissus ou autres ouvrages en matières textiles (sauf machines à laver le linge)</v>
      </c>
      <c r="C8309">
        <v>70000</v>
      </c>
      <c r="D8309">
        <v>1500</v>
      </c>
    </row>
    <row r="8310" spans="1:4" x14ac:dyDescent="0.25">
      <c r="A8310" t="str">
        <f>T("   846229")</f>
        <v xml:space="preserve">   846229</v>
      </c>
      <c r="B8310" t="str">
        <f>T("   Machines, y.c. -les presses-, à rouler, cintrer, plier, dresser ou planer, pour le travail des métaux (autres qu'à commande numérique)")</f>
        <v xml:space="preserve">   Machines, y.c. -les presses-, à rouler, cintrer, plier, dresser ou planer, pour le travail des métaux (autres qu'à commande numérique)</v>
      </c>
      <c r="C8310">
        <v>320024</v>
      </c>
      <c r="D8310">
        <v>109</v>
      </c>
    </row>
    <row r="8311" spans="1:4" x14ac:dyDescent="0.25">
      <c r="A8311" t="str">
        <f>T("   846591")</f>
        <v xml:space="preserve">   846591</v>
      </c>
      <c r="B8311" t="str">
        <f>T("   Machines à scier, pour le travail du bois, des matières plastiques dures, etc. (autres que pour emploi à la main)")</f>
        <v xml:space="preserve">   Machines à scier, pour le travail du bois, des matières plastiques dures, etc. (autres que pour emploi à la main)</v>
      </c>
      <c r="C8311">
        <v>888170</v>
      </c>
      <c r="D8311">
        <v>2176</v>
      </c>
    </row>
    <row r="8312" spans="1:4" x14ac:dyDescent="0.25">
      <c r="A8312" t="str">
        <f>T("   846781")</f>
        <v xml:space="preserve">   846781</v>
      </c>
      <c r="B8312" t="str">
        <f>T("   Tronçonneuses à chaîne pour emploi à la main, à moteur non électrique incorporé")</f>
        <v xml:space="preserve">   Tronçonneuses à chaîne pour emploi à la main, à moteur non électrique incorporé</v>
      </c>
      <c r="C8312">
        <v>458052</v>
      </c>
      <c r="D8312">
        <v>275</v>
      </c>
    </row>
    <row r="8313" spans="1:4" x14ac:dyDescent="0.25">
      <c r="A8313" t="str">
        <f>T("   846789")</f>
        <v xml:space="preserve">   846789</v>
      </c>
      <c r="B8313"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8313">
        <v>3373013</v>
      </c>
      <c r="D8313">
        <v>3399</v>
      </c>
    </row>
    <row r="8314" spans="1:4" x14ac:dyDescent="0.25">
      <c r="A8314" t="str">
        <f>T("   846791")</f>
        <v xml:space="preserve">   846791</v>
      </c>
      <c r="B8314" t="str">
        <f>T("   Parties de tronçonneuses à chaîne pour emploi à la main, à moteur électrique ou non électrique incorporé, n.d.a.")</f>
        <v xml:space="preserve">   Parties de tronçonneuses à chaîne pour emploi à la main, à moteur électrique ou non électrique incorporé, n.d.a.</v>
      </c>
      <c r="C8314">
        <v>77377</v>
      </c>
      <c r="D8314">
        <v>341</v>
      </c>
    </row>
    <row r="8315" spans="1:4" x14ac:dyDescent="0.25">
      <c r="A8315" t="str">
        <f>T("   846799")</f>
        <v xml:space="preserve">   846799</v>
      </c>
      <c r="B8315" t="str">
        <f>T("   Parties d'outils pour emploi à la main, hydrauliques ou à moteur électrique ou non électrique incorporé, n.d.a.")</f>
        <v xml:space="preserve">   Parties d'outils pour emploi à la main, hydrauliques ou à moteur électrique ou non électrique incorporé, n.d.a.</v>
      </c>
      <c r="C8315">
        <v>136696</v>
      </c>
      <c r="D8315">
        <v>170</v>
      </c>
    </row>
    <row r="8316" spans="1:4" x14ac:dyDescent="0.25">
      <c r="A8316" t="str">
        <f>T("   847130")</f>
        <v xml:space="preserve">   847130</v>
      </c>
      <c r="B8316"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8316">
        <v>327980</v>
      </c>
      <c r="D8316">
        <v>4000</v>
      </c>
    </row>
    <row r="8317" spans="1:4" x14ac:dyDescent="0.25">
      <c r="A8317" t="str">
        <f>T("   847149")</f>
        <v xml:space="preserve">   847149</v>
      </c>
      <c r="B8317" t="s">
        <v>435</v>
      </c>
      <c r="C8317">
        <v>25807735</v>
      </c>
      <c r="D8317">
        <v>916</v>
      </c>
    </row>
    <row r="8318" spans="1:4" x14ac:dyDescent="0.25">
      <c r="A8318" t="str">
        <f>T("   847150")</f>
        <v xml:space="preserve">   847150</v>
      </c>
      <c r="B8318" t="s">
        <v>436</v>
      </c>
      <c r="C8318">
        <v>26764388</v>
      </c>
      <c r="D8318">
        <v>35</v>
      </c>
    </row>
    <row r="8319" spans="1:4" x14ac:dyDescent="0.25">
      <c r="A8319" t="str">
        <f>T("   847160")</f>
        <v xml:space="preserve">   847160</v>
      </c>
      <c r="B8319"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8319">
        <v>14466542</v>
      </c>
      <c r="D8319">
        <v>4</v>
      </c>
    </row>
    <row r="8320" spans="1:4" x14ac:dyDescent="0.25">
      <c r="A8320" t="str">
        <f>T("   847180")</f>
        <v xml:space="preserve">   847180</v>
      </c>
      <c r="B8320"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8320">
        <v>121970859</v>
      </c>
      <c r="D8320">
        <v>6293.5</v>
      </c>
    </row>
    <row r="8321" spans="1:4" x14ac:dyDescent="0.25">
      <c r="A8321" t="str">
        <f>T("   847190")</f>
        <v xml:space="preserve">   847190</v>
      </c>
      <c r="B8321"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321">
        <v>72613761</v>
      </c>
      <c r="D8321">
        <v>2675.75</v>
      </c>
    </row>
    <row r="8322" spans="1:4" x14ac:dyDescent="0.25">
      <c r="A8322" t="str">
        <f>T("   847290")</f>
        <v xml:space="preserve">   847290</v>
      </c>
      <c r="B8322" t="str">
        <f>T("   Machines et appareils de bureau, n.d.a.")</f>
        <v xml:space="preserve">   Machines et appareils de bureau, n.d.a.</v>
      </c>
      <c r="C8322">
        <v>315517</v>
      </c>
      <c r="D8322">
        <v>32</v>
      </c>
    </row>
    <row r="8323" spans="1:4" x14ac:dyDescent="0.25">
      <c r="A8323" t="str">
        <f>T("   847330")</f>
        <v xml:space="preserve">   847330</v>
      </c>
      <c r="B8323" t="str">
        <f>T("   Parties et accessoires pour machines automatiques de traitement de l'information ou pour autres machines du n° 8471, n.d.a.")</f>
        <v xml:space="preserve">   Parties et accessoires pour machines automatiques de traitement de l'information ou pour autres machines du n° 8471, n.d.a.</v>
      </c>
      <c r="C8323">
        <v>2889819</v>
      </c>
      <c r="D8323">
        <v>78</v>
      </c>
    </row>
    <row r="8324" spans="1:4" x14ac:dyDescent="0.25">
      <c r="A8324" t="str">
        <f>T("   847340")</f>
        <v xml:space="preserve">   847340</v>
      </c>
      <c r="B8324" t="str">
        <f>T("   Parties et accessoires pour autres machines et appareils de bureau du n° 8472, n.d.a.")</f>
        <v xml:space="preserve">   Parties et accessoires pour autres machines et appareils de bureau du n° 8472, n.d.a.</v>
      </c>
      <c r="C8324">
        <v>1160669</v>
      </c>
      <c r="D8324">
        <v>40</v>
      </c>
    </row>
    <row r="8325" spans="1:4" x14ac:dyDescent="0.25">
      <c r="A8325" t="str">
        <f>T("   847981")</f>
        <v xml:space="preserve">   847981</v>
      </c>
      <c r="B8325" t="s">
        <v>440</v>
      </c>
      <c r="C8325">
        <v>326648</v>
      </c>
      <c r="D8325">
        <v>110</v>
      </c>
    </row>
    <row r="8326" spans="1:4" x14ac:dyDescent="0.25">
      <c r="A8326" t="str">
        <f>T("   847989")</f>
        <v xml:space="preserve">   847989</v>
      </c>
      <c r="B8326" t="str">
        <f>T("   Machines et appareils, y.c. les appareils mécaniques, n.d.a.")</f>
        <v xml:space="preserve">   Machines et appareils, y.c. les appareils mécaniques, n.d.a.</v>
      </c>
      <c r="C8326">
        <v>15540788</v>
      </c>
      <c r="D8326">
        <v>1600</v>
      </c>
    </row>
    <row r="8327" spans="1:4" x14ac:dyDescent="0.25">
      <c r="A8327" t="str">
        <f>T("   848110")</f>
        <v xml:space="preserve">   848110</v>
      </c>
      <c r="B8327" t="str">
        <f>T("   Détendeurs")</f>
        <v xml:space="preserve">   Détendeurs</v>
      </c>
      <c r="C8327">
        <v>7939084</v>
      </c>
      <c r="D8327">
        <v>300</v>
      </c>
    </row>
    <row r="8328" spans="1:4" x14ac:dyDescent="0.25">
      <c r="A8328" t="str">
        <f>T("   848180")</f>
        <v xml:space="preserve">   848180</v>
      </c>
      <c r="B8328"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8328">
        <v>2594098</v>
      </c>
      <c r="D8328">
        <v>841</v>
      </c>
    </row>
    <row r="8329" spans="1:4" x14ac:dyDescent="0.25">
      <c r="A8329" t="str">
        <f>T("   848280")</f>
        <v xml:space="preserve">   848280</v>
      </c>
      <c r="B8329" t="s">
        <v>442</v>
      </c>
      <c r="C8329">
        <v>3348289</v>
      </c>
      <c r="D8329">
        <v>40</v>
      </c>
    </row>
    <row r="8330" spans="1:4" x14ac:dyDescent="0.25">
      <c r="A8330" t="str">
        <f>T("   848310")</f>
        <v xml:space="preserve">   848310</v>
      </c>
      <c r="B8330" t="str">
        <f>T("   Arbres de transmission pour machines, y.c. -les arbres à cames et les vilebrequins- et manivelles")</f>
        <v xml:space="preserve">   Arbres de transmission pour machines, y.c. -les arbres à cames et les vilebrequins- et manivelles</v>
      </c>
      <c r="C8330">
        <v>6849672</v>
      </c>
      <c r="D8330">
        <v>234</v>
      </c>
    </row>
    <row r="8331" spans="1:4" x14ac:dyDescent="0.25">
      <c r="A8331" t="str">
        <f>T("   848390")</f>
        <v xml:space="preserve">   848390</v>
      </c>
      <c r="B8331"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8331">
        <v>82526</v>
      </c>
      <c r="D8331">
        <v>0.4</v>
      </c>
    </row>
    <row r="8332" spans="1:4" x14ac:dyDescent="0.25">
      <c r="A8332" t="str">
        <f>T("   848490")</f>
        <v xml:space="preserve">   848490</v>
      </c>
      <c r="B8332" t="str">
        <f>T("   Jeux ou assortiments de joints de composition différente présentés en pochettes, enveloppes ou emballages analogues")</f>
        <v xml:space="preserve">   Jeux ou assortiments de joints de composition différente présentés en pochettes, enveloppes ou emballages analogues</v>
      </c>
      <c r="C8332">
        <v>6597193</v>
      </c>
      <c r="D8332">
        <v>263</v>
      </c>
    </row>
    <row r="8333" spans="1:4" x14ac:dyDescent="0.25">
      <c r="A8333" t="str">
        <f>T("   850161")</f>
        <v xml:space="preserve">   850161</v>
      </c>
      <c r="B8333" t="str">
        <f>T("   Alternateurs, puissance &lt;= 75 kVA")</f>
        <v xml:space="preserve">   Alternateurs, puissance &lt;= 75 kVA</v>
      </c>
      <c r="C8333">
        <v>2120050</v>
      </c>
      <c r="D8333">
        <v>53</v>
      </c>
    </row>
    <row r="8334" spans="1:4" x14ac:dyDescent="0.25">
      <c r="A8334" t="str">
        <f>T("   850211")</f>
        <v xml:space="preserve">   850211</v>
      </c>
      <c r="B8334" t="s">
        <v>444</v>
      </c>
      <c r="C8334">
        <v>14024424</v>
      </c>
      <c r="D8334">
        <v>5065</v>
      </c>
    </row>
    <row r="8335" spans="1:4" x14ac:dyDescent="0.25">
      <c r="A8335" t="str">
        <f>T("   850220")</f>
        <v xml:space="preserve">   850220</v>
      </c>
      <c r="B8335" t="s">
        <v>446</v>
      </c>
      <c r="C8335">
        <v>2211860</v>
      </c>
      <c r="D8335">
        <v>688</v>
      </c>
    </row>
    <row r="8336" spans="1:4" x14ac:dyDescent="0.25">
      <c r="A8336" t="str">
        <f>T("   850239")</f>
        <v xml:space="preserve">   850239</v>
      </c>
      <c r="B8336" t="str">
        <f>T("   Groupes électrogènes (autres qu'à énergie éolienne et à moteurs à piston)")</f>
        <v xml:space="preserve">   Groupes électrogènes (autres qu'à énergie éolienne et à moteurs à piston)</v>
      </c>
      <c r="C8336">
        <v>1500181</v>
      </c>
      <c r="D8336">
        <v>300</v>
      </c>
    </row>
    <row r="8337" spans="1:4" x14ac:dyDescent="0.25">
      <c r="A8337" t="str">
        <f>T("   850431")</f>
        <v xml:space="preserve">   850431</v>
      </c>
      <c r="B8337" t="str">
        <f>T("   Transformateurs à sec, puissance &lt;= 1 kVA")</f>
        <v xml:space="preserve">   Transformateurs à sec, puissance &lt;= 1 kVA</v>
      </c>
      <c r="C8337">
        <v>2839461</v>
      </c>
      <c r="D8337">
        <v>54.5</v>
      </c>
    </row>
    <row r="8338" spans="1:4" x14ac:dyDescent="0.25">
      <c r="A8338" t="str">
        <f>T("   850440")</f>
        <v xml:space="preserve">   850440</v>
      </c>
      <c r="B8338" t="str">
        <f>T("   CONVERTISSEURS STATIQUES")</f>
        <v xml:space="preserve">   CONVERTISSEURS STATIQUES</v>
      </c>
      <c r="C8338">
        <v>2376138</v>
      </c>
      <c r="D8338">
        <v>255</v>
      </c>
    </row>
    <row r="8339" spans="1:4" x14ac:dyDescent="0.25">
      <c r="A8339" t="str">
        <f>T("   851140")</f>
        <v xml:space="preserve">   851140</v>
      </c>
      <c r="B8339" t="str">
        <f>T("   Démarreurs, même fonctionnant comme génératrices, pour moteurs à allumage par étincelles ou par compression")</f>
        <v xml:space="preserve">   Démarreurs, même fonctionnant comme génératrices, pour moteurs à allumage par étincelles ou par compression</v>
      </c>
      <c r="C8339">
        <v>19817772</v>
      </c>
      <c r="D8339">
        <v>510</v>
      </c>
    </row>
    <row r="8340" spans="1:4" x14ac:dyDescent="0.25">
      <c r="A8340" t="str">
        <f>T("   851150")</f>
        <v xml:space="preserve">   851150</v>
      </c>
      <c r="B8340"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8340">
        <v>29377615</v>
      </c>
      <c r="D8340">
        <v>4220</v>
      </c>
    </row>
    <row r="8341" spans="1:4" x14ac:dyDescent="0.25">
      <c r="A8341" t="str">
        <f>T("   851220")</f>
        <v xml:space="preserve">   851220</v>
      </c>
      <c r="B8341" t="str">
        <f>T("   Appareils électriques d'éclairage ou de signalisation visuelle, pour automobiles (à l'excl. des lampes du n° 8539)")</f>
        <v xml:space="preserve">   Appareils électriques d'éclairage ou de signalisation visuelle, pour automobiles (à l'excl. des lampes du n° 8539)</v>
      </c>
      <c r="C8341">
        <v>854139</v>
      </c>
      <c r="D8341">
        <v>10.18</v>
      </c>
    </row>
    <row r="8342" spans="1:4" x14ac:dyDescent="0.25">
      <c r="A8342" t="str">
        <f>T("   851310")</f>
        <v xml:space="preserve">   851310</v>
      </c>
      <c r="B8342" t="str">
        <f>T("   Lampes électriques portatives, destinées à fonctionner au moyen de leur propre source d'énergie")</f>
        <v xml:space="preserve">   Lampes électriques portatives, destinées à fonctionner au moyen de leur propre source d'énergie</v>
      </c>
      <c r="C8342">
        <v>2815498</v>
      </c>
      <c r="D8342">
        <v>52</v>
      </c>
    </row>
    <row r="8343" spans="1:4" x14ac:dyDescent="0.25">
      <c r="A8343" t="str">
        <f>T("   851529")</f>
        <v xml:space="preserve">   851529</v>
      </c>
      <c r="B8343" t="str">
        <f>T("   MACHINES ET APPAREILS POUR LE SOUDAGE DES MÉTAUX PAR RÉSISTANCE, NON-AUTOMATIQUES")</f>
        <v xml:space="preserve">   MACHINES ET APPAREILS POUR LE SOUDAGE DES MÉTAUX PAR RÉSISTANCE, NON-AUTOMATIQUES</v>
      </c>
      <c r="C8343">
        <v>393576</v>
      </c>
      <c r="D8343">
        <v>80</v>
      </c>
    </row>
    <row r="8344" spans="1:4" x14ac:dyDescent="0.25">
      <c r="A8344" t="str">
        <f>T("   851679")</f>
        <v xml:space="preserve">   851679</v>
      </c>
      <c r="B8344" t="s">
        <v>451</v>
      </c>
      <c r="C8344">
        <v>99227</v>
      </c>
      <c r="D8344">
        <v>7</v>
      </c>
    </row>
    <row r="8345" spans="1:4" x14ac:dyDescent="0.25">
      <c r="A8345" t="str">
        <f>T("   851719")</f>
        <v xml:space="preserve">   851719</v>
      </c>
      <c r="B8345"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8345">
        <v>8880386</v>
      </c>
      <c r="D8345">
        <v>339</v>
      </c>
    </row>
    <row r="8346" spans="1:4" x14ac:dyDescent="0.25">
      <c r="A8346" t="str">
        <f>T("   851780")</f>
        <v xml:space="preserve">   851780</v>
      </c>
      <c r="B8346" t="s">
        <v>453</v>
      </c>
      <c r="C8346">
        <v>304234866</v>
      </c>
      <c r="D8346">
        <v>30640.400000000001</v>
      </c>
    </row>
    <row r="8347" spans="1:4" x14ac:dyDescent="0.25">
      <c r="A8347" t="str">
        <f>T("   851790")</f>
        <v xml:space="preserve">   851790</v>
      </c>
      <c r="B8347" t="s">
        <v>454</v>
      </c>
      <c r="C8347">
        <v>5036531</v>
      </c>
      <c r="D8347">
        <v>23</v>
      </c>
    </row>
    <row r="8348" spans="1:4" x14ac:dyDescent="0.25">
      <c r="A8348" t="str">
        <f>T("   852390")</f>
        <v xml:space="preserve">   852390</v>
      </c>
      <c r="B8348"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8348">
        <v>9339</v>
      </c>
      <c r="D8348">
        <v>2</v>
      </c>
    </row>
    <row r="8349" spans="1:4" x14ac:dyDescent="0.25">
      <c r="A8349" t="str">
        <f>T("   852499")</f>
        <v xml:space="preserve">   852499</v>
      </c>
      <c r="B8349" t="s">
        <v>460</v>
      </c>
      <c r="C8349">
        <v>1268627</v>
      </c>
      <c r="D8349">
        <v>300</v>
      </c>
    </row>
    <row r="8350" spans="1:4" x14ac:dyDescent="0.25">
      <c r="A8350" t="str">
        <f>T("   852713")</f>
        <v xml:space="preserve">   852713</v>
      </c>
      <c r="B8350"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8350">
        <v>20000</v>
      </c>
      <c r="D8350">
        <v>100</v>
      </c>
    </row>
    <row r="8351" spans="1:4" x14ac:dyDescent="0.25">
      <c r="A8351" t="str">
        <f>T("   852719")</f>
        <v xml:space="preserve">   852719</v>
      </c>
      <c r="B8351"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8351">
        <v>369305</v>
      </c>
      <c r="D8351">
        <v>5000</v>
      </c>
    </row>
    <row r="8352" spans="1:4" x14ac:dyDescent="0.25">
      <c r="A8352" t="str">
        <f>T("   852812")</f>
        <v xml:space="preserve">   852812</v>
      </c>
      <c r="B8352"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352">
        <v>2032522</v>
      </c>
      <c r="D8352">
        <v>6500</v>
      </c>
    </row>
    <row r="8353" spans="1:4" x14ac:dyDescent="0.25">
      <c r="A8353" t="str">
        <f>T("   853641")</f>
        <v xml:space="preserve">   853641</v>
      </c>
      <c r="B8353" t="str">
        <f>T("   Relais pour une tension &lt;= 60 V")</f>
        <v xml:space="preserve">   Relais pour une tension &lt;= 60 V</v>
      </c>
      <c r="C8353">
        <v>752052</v>
      </c>
      <c r="D8353">
        <v>79</v>
      </c>
    </row>
    <row r="8354" spans="1:4" x14ac:dyDescent="0.25">
      <c r="A8354" t="str">
        <f>T("   853650")</f>
        <v xml:space="preserve">   853650</v>
      </c>
      <c r="B8354" t="str">
        <f>T("   Interrupteurs, sectionneurs et commutateurs, pour une tension &lt;= 1.000 V (autres que relais et disjoncteurs)")</f>
        <v xml:space="preserve">   Interrupteurs, sectionneurs et commutateurs, pour une tension &lt;= 1.000 V (autres que relais et disjoncteurs)</v>
      </c>
      <c r="C8354">
        <v>5147934</v>
      </c>
      <c r="D8354">
        <v>164.49</v>
      </c>
    </row>
    <row r="8355" spans="1:4" x14ac:dyDescent="0.25">
      <c r="A8355" t="str">
        <f>T("   854389")</f>
        <v xml:space="preserve">   854389</v>
      </c>
      <c r="B8355" t="str">
        <f>T("   MACHINES ET APPAREILS ÉLECTRIQUES AYANT UNE FONCTION PROPRE, N.D.A. DANS LE CHAPITRE 85")</f>
        <v xml:space="preserve">   MACHINES ET APPAREILS ÉLECTRIQUES AYANT UNE FONCTION PROPRE, N.D.A. DANS LE CHAPITRE 85</v>
      </c>
      <c r="C8355">
        <v>736499</v>
      </c>
      <c r="D8355">
        <v>14</v>
      </c>
    </row>
    <row r="8356" spans="1:4" x14ac:dyDescent="0.25">
      <c r="A8356" t="str">
        <f>T("   854420")</f>
        <v xml:space="preserve">   854420</v>
      </c>
      <c r="B8356" t="str">
        <f>T("   Câbles coaxiaux et autres conducteurs électriques coaxiaux, isolés")</f>
        <v xml:space="preserve">   Câbles coaxiaux et autres conducteurs électriques coaxiaux, isolés</v>
      </c>
      <c r="C8356">
        <v>18302596</v>
      </c>
      <c r="D8356">
        <v>1747</v>
      </c>
    </row>
    <row r="8357" spans="1:4" x14ac:dyDescent="0.25">
      <c r="A8357" t="str">
        <f>T("   854449")</f>
        <v xml:space="preserve">   854449</v>
      </c>
      <c r="B8357" t="str">
        <f>T("   CONDUCTEURS ÉLECTRIQUES, POUR TENSION &lt;= 1.000 V, ISOLÉS, SANS PIÈCES DE CONNEXION, N.D.A.")</f>
        <v xml:space="preserve">   CONDUCTEURS ÉLECTRIQUES, POUR TENSION &lt;= 1.000 V, ISOLÉS, SANS PIÈCES DE CONNEXION, N.D.A.</v>
      </c>
      <c r="C8357">
        <v>1381836</v>
      </c>
      <c r="D8357">
        <v>81</v>
      </c>
    </row>
    <row r="8358" spans="1:4" x14ac:dyDescent="0.25">
      <c r="A8358" t="str">
        <f>T("   854451")</f>
        <v xml:space="preserve">   854451</v>
      </c>
      <c r="B8358" t="str">
        <f>T("   Conducteurs électriques, pour tension &gt; 80 V mais &lt;= 1.000 V, avec pièces de connexion, n.d.a.")</f>
        <v xml:space="preserve">   Conducteurs électriques, pour tension &gt; 80 V mais &lt;= 1.000 V, avec pièces de connexion, n.d.a.</v>
      </c>
      <c r="C8358">
        <v>71097</v>
      </c>
      <c r="D8358">
        <v>20</v>
      </c>
    </row>
    <row r="8359" spans="1:4" x14ac:dyDescent="0.25">
      <c r="A8359" t="str">
        <f>T("   870120")</f>
        <v xml:space="preserve">   870120</v>
      </c>
      <c r="B8359" t="str">
        <f>T("   Tracteurs routiers pour semi-remorques")</f>
        <v xml:space="preserve">   Tracteurs routiers pour semi-remorques</v>
      </c>
      <c r="C8359">
        <v>286330207</v>
      </c>
      <c r="D8359">
        <v>764935</v>
      </c>
    </row>
    <row r="8360" spans="1:4" x14ac:dyDescent="0.25">
      <c r="A8360" t="str">
        <f>T("   870190")</f>
        <v xml:space="preserve">   870190</v>
      </c>
      <c r="B8360"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8360">
        <v>8453019</v>
      </c>
      <c r="D8360">
        <v>17673</v>
      </c>
    </row>
    <row r="8361" spans="1:4" x14ac:dyDescent="0.25">
      <c r="A8361" t="str">
        <f>T("   870210")</f>
        <v xml:space="preserve">   870210</v>
      </c>
      <c r="B8361" t="s">
        <v>469</v>
      </c>
      <c r="C8361">
        <v>80935982</v>
      </c>
      <c r="D8361">
        <v>94856</v>
      </c>
    </row>
    <row r="8362" spans="1:4" x14ac:dyDescent="0.25">
      <c r="A8362" t="str">
        <f>T("   870290")</f>
        <v xml:space="preserve">   870290</v>
      </c>
      <c r="B8362" t="s">
        <v>470</v>
      </c>
      <c r="C8362">
        <v>167023592</v>
      </c>
      <c r="D8362">
        <v>245164</v>
      </c>
    </row>
    <row r="8363" spans="1:4" x14ac:dyDescent="0.25">
      <c r="A8363" t="str">
        <f>T("   870321")</f>
        <v xml:space="preserve">   870321</v>
      </c>
      <c r="B8363" t="s">
        <v>471</v>
      </c>
      <c r="C8363">
        <v>8907507</v>
      </c>
      <c r="D8363">
        <v>1960</v>
      </c>
    </row>
    <row r="8364" spans="1:4" x14ac:dyDescent="0.25">
      <c r="A8364" t="str">
        <f>T("   870322")</f>
        <v xml:space="preserve">   870322</v>
      </c>
      <c r="B8364" t="s">
        <v>472</v>
      </c>
      <c r="C8364">
        <v>3466289643</v>
      </c>
      <c r="D8364">
        <v>2969310</v>
      </c>
    </row>
    <row r="8365" spans="1:4" x14ac:dyDescent="0.25">
      <c r="A8365" t="str">
        <f>T("   870323")</f>
        <v xml:space="preserve">   870323</v>
      </c>
      <c r="B8365" t="s">
        <v>473</v>
      </c>
      <c r="C8365">
        <v>264959524</v>
      </c>
      <c r="D8365">
        <v>149090</v>
      </c>
    </row>
    <row r="8366" spans="1:4" x14ac:dyDescent="0.25">
      <c r="A8366" t="str">
        <f>T("   870324")</f>
        <v xml:space="preserve">   870324</v>
      </c>
      <c r="B8366" t="s">
        <v>474</v>
      </c>
      <c r="C8366">
        <v>89908689</v>
      </c>
      <c r="D8366">
        <v>34689</v>
      </c>
    </row>
    <row r="8367" spans="1:4" x14ac:dyDescent="0.25">
      <c r="A8367" t="str">
        <f>T("   870332")</f>
        <v xml:space="preserve">   870332</v>
      </c>
      <c r="B8367" t="s">
        <v>476</v>
      </c>
      <c r="C8367">
        <v>32368402</v>
      </c>
      <c r="D8367">
        <v>4755</v>
      </c>
    </row>
    <row r="8368" spans="1:4" x14ac:dyDescent="0.25">
      <c r="A8368" t="str">
        <f>T("   870333")</f>
        <v xml:space="preserve">   870333</v>
      </c>
      <c r="B8368" t="s">
        <v>477</v>
      </c>
      <c r="C8368">
        <v>17678847</v>
      </c>
      <c r="D8368">
        <v>2165</v>
      </c>
    </row>
    <row r="8369" spans="1:4" x14ac:dyDescent="0.25">
      <c r="A8369" t="str">
        <f>T("   870390")</f>
        <v xml:space="preserve">   870390</v>
      </c>
      <c r="B8369" t="str">
        <f>T("   Voitures de tourisme et autres véhicules principalement conçus pour le transport de personnes, y.c. les voitures du type 'break' et les voitures de course (sauf véhicules pour se déplacer sur la neige et autres véhicules spéciaux du n° 8703.10)")</f>
        <v xml:space="preserve">   Voitures de tourisme et autres véhicules principalement conçus pour le transport de personnes, y.c. les voitures du type 'break' et les voitures de course (sauf véhicules pour se déplacer sur la neige et autres véhicules spéciaux du n° 8703.10)</v>
      </c>
      <c r="C8369">
        <v>10686249</v>
      </c>
      <c r="D8369">
        <v>1446</v>
      </c>
    </row>
    <row r="8370" spans="1:4" x14ac:dyDescent="0.25">
      <c r="A8370" t="str">
        <f>T("   870421")</f>
        <v xml:space="preserve">   870421</v>
      </c>
      <c r="B8370" t="s">
        <v>478</v>
      </c>
      <c r="C8370">
        <v>573542545</v>
      </c>
      <c r="D8370">
        <v>503528</v>
      </c>
    </row>
    <row r="8371" spans="1:4" x14ac:dyDescent="0.25">
      <c r="A8371" t="str">
        <f>T("   870422")</f>
        <v xml:space="preserve">   870422</v>
      </c>
      <c r="B8371" t="s">
        <v>479</v>
      </c>
      <c r="C8371">
        <v>170815910</v>
      </c>
      <c r="D8371">
        <v>570993</v>
      </c>
    </row>
    <row r="8372" spans="1:4" x14ac:dyDescent="0.25">
      <c r="A8372" t="str">
        <f>T("   870431")</f>
        <v xml:space="preserve">   870431</v>
      </c>
      <c r="B8372" t="s">
        <v>481</v>
      </c>
      <c r="C8372">
        <v>135461635</v>
      </c>
      <c r="D8372">
        <v>179726</v>
      </c>
    </row>
    <row r="8373" spans="1:4" x14ac:dyDescent="0.25">
      <c r="A8373" t="str">
        <f>T("   870490")</f>
        <v xml:space="preserve">   870490</v>
      </c>
      <c r="B8373"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8373">
        <v>1200000</v>
      </c>
      <c r="D8373">
        <v>950</v>
      </c>
    </row>
    <row r="8374" spans="1:4" x14ac:dyDescent="0.25">
      <c r="A8374" t="str">
        <f>T("   870530")</f>
        <v xml:space="preserve">   870530</v>
      </c>
      <c r="B8374" t="str">
        <f>T("   Voitures de lutte contre l'incendie (sauf véhicules affectés principalement au transport des sapeurs-pompiers)")</f>
        <v xml:space="preserve">   Voitures de lutte contre l'incendie (sauf véhicules affectés principalement au transport des sapeurs-pompiers)</v>
      </c>
      <c r="C8374">
        <v>16675815</v>
      </c>
      <c r="D8374">
        <v>1600</v>
      </c>
    </row>
    <row r="8375" spans="1:4" x14ac:dyDescent="0.25">
      <c r="A8375" t="str">
        <f>T("   870821")</f>
        <v xml:space="preserve">   870821</v>
      </c>
      <c r="B8375" t="str">
        <f>T("   Ceintures de sécurité pour véhicules")</f>
        <v xml:space="preserve">   Ceintures de sécurité pour véhicules</v>
      </c>
      <c r="C8375">
        <v>9442006</v>
      </c>
      <c r="D8375">
        <v>87</v>
      </c>
    </row>
    <row r="8376" spans="1:4" x14ac:dyDescent="0.25">
      <c r="A8376" t="str">
        <f>T("   870829")</f>
        <v xml:space="preserve">   870829</v>
      </c>
      <c r="B8376" t="s">
        <v>485</v>
      </c>
      <c r="C8376">
        <v>569011</v>
      </c>
      <c r="D8376">
        <v>2149</v>
      </c>
    </row>
    <row r="8377" spans="1:4" x14ac:dyDescent="0.25">
      <c r="A8377" t="str">
        <f>T("   870831")</f>
        <v xml:space="preserve">   870831</v>
      </c>
      <c r="B8377" t="str">
        <f>T("   GARNITURES DE FREINS MONTÉES, POUR TRACTEURS, VÉHICULES POUR LE TRANSPORT DE &gt;= 10 PERSONNES, CHAUFFEUR INCLUS, VOITURES DE TOURISME, VÉHICULES POUR LE TRANSPORT DE MARCHANDISES ET VÉHICULES À USAGES SPÉCIAUX")</f>
        <v xml:space="preserve">   GARNITURES DE FREINS MONTÉES, POUR TRACTEURS, VÉHICULES POUR LE TRANSPORT DE &gt;= 10 PERSONNES, CHAUFFEUR INCLUS, VOITURES DE TOURISME, VÉHICULES POUR LE TRANSPORT DE MARCHANDISES ET VÉHICULES À USAGES SPÉCIAUX</v>
      </c>
      <c r="C8377">
        <v>14326612</v>
      </c>
      <c r="D8377">
        <v>340</v>
      </c>
    </row>
    <row r="8378" spans="1:4" x14ac:dyDescent="0.25">
      <c r="A8378" t="str">
        <f>T("   870839")</f>
        <v xml:space="preserve">   870839</v>
      </c>
      <c r="B8378"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8378">
        <v>21395657</v>
      </c>
      <c r="D8378">
        <v>2419</v>
      </c>
    </row>
    <row r="8379" spans="1:4" x14ac:dyDescent="0.25">
      <c r="A8379" t="str">
        <f>T("   870891")</f>
        <v xml:space="preserve">   870891</v>
      </c>
      <c r="B8379"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8379">
        <v>352581</v>
      </c>
      <c r="D8379">
        <v>530</v>
      </c>
    </row>
    <row r="8380" spans="1:4" x14ac:dyDescent="0.25">
      <c r="A8380" t="str">
        <f>T("   870899")</f>
        <v xml:space="preserve">   870899</v>
      </c>
      <c r="B8380"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380">
        <v>27833732</v>
      </c>
      <c r="D8380">
        <v>2026</v>
      </c>
    </row>
    <row r="8381" spans="1:4" x14ac:dyDescent="0.25">
      <c r="A8381" t="str">
        <f>T("   870990")</f>
        <v xml:space="preserve">   870990</v>
      </c>
      <c r="B8381" t="str">
        <f>T("   Parties de chariots automobiles non munis d'un dispositif de levage, des types utilisés pour le transport des marchandises sur de courtes distances, y.c. les chariots-tracteurs des types utilisés dans les gares, n.d.a.")</f>
        <v xml:space="preserve">   Parties de chariots automobiles non munis d'un dispositif de levage, des types utilisés pour le transport des marchandises sur de courtes distances, y.c. les chariots-tracteurs des types utilisés dans les gares, n.d.a.</v>
      </c>
      <c r="C8381">
        <v>2277861</v>
      </c>
      <c r="D8381">
        <v>40.83</v>
      </c>
    </row>
    <row r="8382" spans="1:4" x14ac:dyDescent="0.25">
      <c r="A8382" t="str">
        <f>T("   871200")</f>
        <v xml:space="preserve">   871200</v>
      </c>
      <c r="B8382" t="str">
        <f>T("   BICYCLETTES ET AUTRES CYCLES, -Y.C. LES TRIPORTEURS-, SANS MOTEUR")</f>
        <v xml:space="preserve">   BICYCLETTES ET AUTRES CYCLES, -Y.C. LES TRIPORTEURS-, SANS MOTEUR</v>
      </c>
      <c r="C8382">
        <v>4240781</v>
      </c>
      <c r="D8382">
        <v>5000</v>
      </c>
    </row>
    <row r="8383" spans="1:4" x14ac:dyDescent="0.25">
      <c r="A8383" t="str">
        <f>T("   871411")</f>
        <v xml:space="preserve">   871411</v>
      </c>
      <c r="B8383" t="str">
        <f>T("   Selles de motocycles, y.c. de cyclomoteurs")</f>
        <v xml:space="preserve">   Selles de motocycles, y.c. de cyclomoteurs</v>
      </c>
      <c r="C8383">
        <v>100000</v>
      </c>
      <c r="D8383">
        <v>385</v>
      </c>
    </row>
    <row r="8384" spans="1:4" x14ac:dyDescent="0.25">
      <c r="A8384" t="str">
        <f>T("   871640")</f>
        <v xml:space="preserve">   871640</v>
      </c>
      <c r="B838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384">
        <v>174891435</v>
      </c>
      <c r="D8384">
        <v>452934</v>
      </c>
    </row>
    <row r="8385" spans="1:4" x14ac:dyDescent="0.25">
      <c r="A8385" t="str">
        <f>T("   890190")</f>
        <v xml:space="preserve">   890190</v>
      </c>
      <c r="B8385"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8385">
        <v>73795500</v>
      </c>
      <c r="D8385">
        <v>12000</v>
      </c>
    </row>
    <row r="8386" spans="1:4" x14ac:dyDescent="0.25">
      <c r="A8386" t="str">
        <f>T("   890399")</f>
        <v xml:space="preserve">   890399</v>
      </c>
      <c r="B8386"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8386">
        <v>98394</v>
      </c>
      <c r="D8386">
        <v>1000</v>
      </c>
    </row>
    <row r="8387" spans="1:4" x14ac:dyDescent="0.25">
      <c r="A8387" t="str">
        <f>T("   901060")</f>
        <v xml:space="preserve">   901060</v>
      </c>
      <c r="B8387" t="str">
        <f>T("   ECRANS POUR PROJECTIONS")</f>
        <v xml:space="preserve">   ECRANS POUR PROJECTIONS</v>
      </c>
      <c r="C8387">
        <v>1284370</v>
      </c>
      <c r="D8387">
        <v>271</v>
      </c>
    </row>
    <row r="8388" spans="1:4" x14ac:dyDescent="0.25">
      <c r="A8388" t="str">
        <f>T("   901180")</f>
        <v xml:space="preserve">   901180</v>
      </c>
      <c r="B8388" t="s">
        <v>492</v>
      </c>
      <c r="C8388">
        <v>421126</v>
      </c>
      <c r="D8388">
        <v>56</v>
      </c>
    </row>
    <row r="8389" spans="1:4" x14ac:dyDescent="0.25">
      <c r="A8389" t="str">
        <f>T("   901580")</f>
        <v xml:space="preserve">   901580</v>
      </c>
      <c r="B8389" t="s">
        <v>493</v>
      </c>
      <c r="C8389">
        <v>2575299</v>
      </c>
      <c r="D8389">
        <v>325</v>
      </c>
    </row>
    <row r="8390" spans="1:4" x14ac:dyDescent="0.25">
      <c r="A8390" t="str">
        <f>T("   901819")</f>
        <v xml:space="preserve">   901819</v>
      </c>
      <c r="B8390" t="s">
        <v>494</v>
      </c>
      <c r="C8390">
        <v>2343089</v>
      </c>
      <c r="D8390">
        <v>303</v>
      </c>
    </row>
    <row r="8391" spans="1:4" x14ac:dyDescent="0.25">
      <c r="A8391" t="str">
        <f>T("   901832")</f>
        <v xml:space="preserve">   901832</v>
      </c>
      <c r="B8391" t="str">
        <f>T("   Aiguilles tubulaires en métal et aiguilles à sutures, pour la médecine")</f>
        <v xml:space="preserve">   Aiguilles tubulaires en métal et aiguilles à sutures, pour la médecine</v>
      </c>
      <c r="C8391">
        <v>268943</v>
      </c>
      <c r="D8391">
        <v>19</v>
      </c>
    </row>
    <row r="8392" spans="1:4" x14ac:dyDescent="0.25">
      <c r="A8392" t="str">
        <f>T("   901839")</f>
        <v xml:space="preserve">   901839</v>
      </c>
      <c r="B8392"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8392">
        <v>8052565</v>
      </c>
      <c r="D8392">
        <v>1087</v>
      </c>
    </row>
    <row r="8393" spans="1:4" x14ac:dyDescent="0.25">
      <c r="A8393" t="str">
        <f>T("   902511")</f>
        <v xml:space="preserve">   902511</v>
      </c>
      <c r="B8393" t="str">
        <f>T("   THERMOMÈTRES À LIQUIDE, À LECTURE DIRECTE, NON-COMBINÉS À D'AUTRES INSTRUMENTS")</f>
        <v xml:space="preserve">   THERMOMÈTRES À LIQUIDE, À LECTURE DIRECTE, NON-COMBINÉS À D'AUTRES INSTRUMENTS</v>
      </c>
      <c r="C8393">
        <v>901946</v>
      </c>
      <c r="D8393">
        <v>122</v>
      </c>
    </row>
    <row r="8394" spans="1:4" x14ac:dyDescent="0.25">
      <c r="A8394" t="str">
        <f>T("   902580")</f>
        <v xml:space="preserve">   902580</v>
      </c>
      <c r="B8394" t="s">
        <v>498</v>
      </c>
      <c r="C8394">
        <v>1894412</v>
      </c>
      <c r="D8394">
        <v>300</v>
      </c>
    </row>
    <row r="8395" spans="1:4" x14ac:dyDescent="0.25">
      <c r="A8395" t="str">
        <f>T("   902690")</f>
        <v xml:space="preserve">   902690</v>
      </c>
      <c r="B8395"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8395">
        <v>1732377</v>
      </c>
      <c r="D8395">
        <v>43</v>
      </c>
    </row>
    <row r="8396" spans="1:4" x14ac:dyDescent="0.25">
      <c r="A8396" t="str">
        <f>T("   903031")</f>
        <v xml:space="preserve">   903031</v>
      </c>
      <c r="B8396" t="str">
        <f>T("   Multimètres pour la mesure de la tension, de l'intensité, de la résistance ou de la puissance, sans dispositif enregistreur")</f>
        <v xml:space="preserve">   Multimètres pour la mesure de la tension, de l'intensité, de la résistance ou de la puissance, sans dispositif enregistreur</v>
      </c>
      <c r="C8396">
        <v>5017825</v>
      </c>
      <c r="D8396">
        <v>4</v>
      </c>
    </row>
    <row r="8397" spans="1:4" x14ac:dyDescent="0.25">
      <c r="A8397" t="str">
        <f>T("   910690")</f>
        <v xml:space="preserve">   910690</v>
      </c>
      <c r="B8397" t="str">
        <f>T("   APPAREILS DE CONTRÔLE DE TEMPS, À MOUVEMENT D'HORLOGERIE OU À MOTEUR SYNCHRONE (AUTRES QU'APPAREILS D'HORLOGERIE DU N° 9101 À 9105, HORLOGES DE POINTAGE, HORODATEURS ET HOROCOMPTEURS)")</f>
        <v xml:space="preserve">   APPAREILS DE CONTRÔLE DE TEMPS, À MOUVEMENT D'HORLOGERIE OU À MOTEUR SYNCHRONE (AUTRES QU'APPAREILS D'HORLOGERIE DU N° 9101 À 9105, HORLOGES DE POINTAGE, HORODATEURS ET HOROCOMPTEURS)</v>
      </c>
      <c r="C8397">
        <v>1521178</v>
      </c>
      <c r="D8397">
        <v>23.99</v>
      </c>
    </row>
    <row r="8398" spans="1:4" x14ac:dyDescent="0.25">
      <c r="A8398" t="str">
        <f>T("   940320")</f>
        <v xml:space="preserve">   940320</v>
      </c>
      <c r="B8398"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8398">
        <v>307654</v>
      </c>
      <c r="D8398">
        <v>71</v>
      </c>
    </row>
    <row r="8399" spans="1:4" x14ac:dyDescent="0.25">
      <c r="A8399" t="str">
        <f>T("   940350")</f>
        <v xml:space="preserve">   940350</v>
      </c>
      <c r="B8399" t="str">
        <f>T("   Meubles pour chambres à coucher, en bois (sauf sièges)")</f>
        <v xml:space="preserve">   Meubles pour chambres à coucher, en bois (sauf sièges)</v>
      </c>
      <c r="C8399">
        <v>6001129</v>
      </c>
      <c r="D8399">
        <v>3225</v>
      </c>
    </row>
    <row r="8400" spans="1:4" x14ac:dyDescent="0.25">
      <c r="A8400" t="str">
        <f>T("   940380")</f>
        <v xml:space="preserve">   940380</v>
      </c>
      <c r="B8400" t="str">
        <f>T("   Meubles en rotin, osier, bambou ou autres matières (sauf métal, bois et matières plastiques)")</f>
        <v xml:space="preserve">   Meubles en rotin, osier, bambou ou autres matières (sauf métal, bois et matières plastiques)</v>
      </c>
      <c r="C8400">
        <v>6510595</v>
      </c>
      <c r="D8400">
        <v>13171</v>
      </c>
    </row>
    <row r="8401" spans="1:4" x14ac:dyDescent="0.25">
      <c r="A8401" t="str">
        <f>T("   940429")</f>
        <v xml:space="preserve">   940429</v>
      </c>
      <c r="B8401"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8401">
        <v>15000</v>
      </c>
      <c r="D8401">
        <v>100</v>
      </c>
    </row>
    <row r="8402" spans="1:4" x14ac:dyDescent="0.25">
      <c r="A8402" t="str">
        <f>T("   950299")</f>
        <v xml:space="preserve">   950299</v>
      </c>
      <c r="B8402" t="str">
        <f>T("   Parties et accessoires pour poupées représentant uniquement l'être humain, n.d.a.")</f>
        <v xml:space="preserve">   Parties et accessoires pour poupées représentant uniquement l'être humain, n.d.a.</v>
      </c>
      <c r="C8402">
        <v>1272167</v>
      </c>
      <c r="D8402">
        <v>698</v>
      </c>
    </row>
    <row r="8403" spans="1:4" x14ac:dyDescent="0.25">
      <c r="A8403" t="str">
        <f>T("   950390")</f>
        <v xml:space="preserve">   950390</v>
      </c>
      <c r="B8403" t="str">
        <f>T("   Jouets, n.d.a.")</f>
        <v xml:space="preserve">   Jouets, n.d.a.</v>
      </c>
      <c r="C8403">
        <v>315517</v>
      </c>
      <c r="D8403">
        <v>450</v>
      </c>
    </row>
    <row r="8404" spans="1:4" x14ac:dyDescent="0.25">
      <c r="A8404" t="str">
        <f>T("   950510")</f>
        <v xml:space="preserve">   950510</v>
      </c>
      <c r="B8404" t="str">
        <f>T("   Articles pour fêtes de Noël (sauf bougies et guirlandes électriques)")</f>
        <v xml:space="preserve">   Articles pour fêtes de Noël (sauf bougies et guirlandes électriques)</v>
      </c>
      <c r="C8404">
        <v>232131</v>
      </c>
      <c r="D8404">
        <v>97</v>
      </c>
    </row>
    <row r="8405" spans="1:4" x14ac:dyDescent="0.25">
      <c r="A8405" t="str">
        <f>T("   950662")</f>
        <v xml:space="preserve">   950662</v>
      </c>
      <c r="B8405" t="str">
        <f>T("   Ballons et balles gonflables")</f>
        <v xml:space="preserve">   Ballons et balles gonflables</v>
      </c>
      <c r="C8405">
        <v>24494</v>
      </c>
      <c r="D8405">
        <v>20</v>
      </c>
    </row>
    <row r="8406" spans="1:4" x14ac:dyDescent="0.25">
      <c r="A8406" t="str">
        <f>T("   950669")</f>
        <v xml:space="preserve">   950669</v>
      </c>
      <c r="B8406" t="str">
        <f>T("   Ballons et balles (autres que gonflables et autres que balles de golf ou de tennis de table)")</f>
        <v xml:space="preserve">   Ballons et balles (autres que gonflables et autres que balles de golf ou de tennis de table)</v>
      </c>
      <c r="C8406">
        <v>5287</v>
      </c>
      <c r="D8406">
        <v>3</v>
      </c>
    </row>
    <row r="8407" spans="1:4" x14ac:dyDescent="0.25">
      <c r="A8407" t="str">
        <f>T("   960350")</f>
        <v xml:space="preserve">   960350</v>
      </c>
      <c r="B8407" t="str">
        <f>T("   Brosses constituant des parties de machines, d'appareils ou de véhicules")</f>
        <v xml:space="preserve">   Brosses constituant des parties de machines, d'appareils ou de véhicules</v>
      </c>
      <c r="C8407">
        <v>457204</v>
      </c>
      <c r="D8407">
        <v>789</v>
      </c>
    </row>
    <row r="8408" spans="1:4" x14ac:dyDescent="0.25">
      <c r="A8408" t="str">
        <f>T("   960810")</f>
        <v xml:space="preserve">   960810</v>
      </c>
      <c r="B8408" t="str">
        <f>T("   Stylos et crayons à bille")</f>
        <v xml:space="preserve">   Stylos et crayons à bille</v>
      </c>
      <c r="C8408">
        <v>17416</v>
      </c>
      <c r="D8408">
        <v>3</v>
      </c>
    </row>
    <row r="8409" spans="1:4" x14ac:dyDescent="0.25">
      <c r="A8409" t="str">
        <f>T("   961000")</f>
        <v xml:space="preserve">   961000</v>
      </c>
      <c r="B8409" t="str">
        <f>T("   Ardoises et tableaux pour l'écriture ou le dessin, même encadrés")</f>
        <v xml:space="preserve">   Ardoises et tableaux pour l'écriture ou le dessin, même encadrés</v>
      </c>
      <c r="C8409">
        <v>903257</v>
      </c>
      <c r="D8409">
        <v>150</v>
      </c>
    </row>
    <row r="8410" spans="1:4" x14ac:dyDescent="0.25">
      <c r="A8410" t="str">
        <f>T("   961800")</f>
        <v xml:space="preserve">   961800</v>
      </c>
      <c r="B8410"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8410">
        <v>895359</v>
      </c>
      <c r="D8410">
        <v>195</v>
      </c>
    </row>
    <row r="8411" spans="1:4" x14ac:dyDescent="0.25">
      <c r="A8411" t="str">
        <f>T("NO")</f>
        <v>NO</v>
      </c>
      <c r="B8411" t="str">
        <f>T("Norvège")</f>
        <v>Norvège</v>
      </c>
    </row>
    <row r="8412" spans="1:4" x14ac:dyDescent="0.25">
      <c r="A8412" t="str">
        <f>T("   ZZ_Total_Produit_SH6")</f>
        <v xml:space="preserve">   ZZ_Total_Produit_SH6</v>
      </c>
      <c r="B8412" t="str">
        <f>T("   ZZ_Total_Produit_SH6")</f>
        <v xml:space="preserve">   ZZ_Total_Produit_SH6</v>
      </c>
      <c r="C8412">
        <v>4074291001</v>
      </c>
      <c r="D8412">
        <v>87709570</v>
      </c>
    </row>
    <row r="8413" spans="1:4" x14ac:dyDescent="0.25">
      <c r="A8413" t="str">
        <f>T("   252310")</f>
        <v xml:space="preserve">   252310</v>
      </c>
      <c r="B8413" t="str">
        <f>T("   Ciments non pulvérisés dits 'clinkers'")</f>
        <v xml:space="preserve">   Ciments non pulvérisés dits 'clinkers'</v>
      </c>
      <c r="C8413">
        <v>2122393373</v>
      </c>
      <c r="D8413">
        <v>59400000</v>
      </c>
    </row>
    <row r="8414" spans="1:4" x14ac:dyDescent="0.25">
      <c r="A8414" t="str">
        <f>T("   252329")</f>
        <v xml:space="preserve">   252329</v>
      </c>
      <c r="B8414" t="str">
        <f>T("   Ciment Portland normal ou modéré (à l'excl. des ciments Portland blancs, même colorés artificiellement)")</f>
        <v xml:space="preserve">   Ciment Portland normal ou modéré (à l'excl. des ciments Portland blancs, même colorés artificiellement)</v>
      </c>
      <c r="C8414">
        <v>1031016000</v>
      </c>
      <c r="D8414">
        <v>27132000</v>
      </c>
    </row>
    <row r="8415" spans="1:4" x14ac:dyDescent="0.25">
      <c r="A8415" t="str">
        <f>T("   271019")</f>
        <v xml:space="preserve">   271019</v>
      </c>
      <c r="B8415" t="str">
        <f>T("   Huiles moyennes et préparations, de pétrole ou de minéraux bitumineux, n.d.a.")</f>
        <v xml:space="preserve">   Huiles moyennes et préparations, de pétrole ou de minéraux bitumineux, n.d.a.</v>
      </c>
      <c r="C8415">
        <v>322056</v>
      </c>
      <c r="D8415">
        <v>4</v>
      </c>
    </row>
    <row r="8416" spans="1:4" x14ac:dyDescent="0.25">
      <c r="A8416" t="str">
        <f>T("   382440")</f>
        <v xml:space="preserve">   382440</v>
      </c>
      <c r="B8416" t="str">
        <f>T("   Additifs préparés pour ciments, mortiers ou bétons")</f>
        <v xml:space="preserve">   Additifs préparés pour ciments, mortiers ou bétons</v>
      </c>
      <c r="C8416">
        <v>109639950</v>
      </c>
      <c r="D8416">
        <v>124695</v>
      </c>
    </row>
    <row r="8417" spans="1:4" x14ac:dyDescent="0.25">
      <c r="A8417" t="str">
        <f>T("   400911")</f>
        <v xml:space="preserve">   400911</v>
      </c>
      <c r="B8417"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8417">
        <v>2026923</v>
      </c>
      <c r="D8417">
        <v>25</v>
      </c>
    </row>
    <row r="8418" spans="1:4" x14ac:dyDescent="0.25">
      <c r="A8418" t="str">
        <f>T("   401012")</f>
        <v xml:space="preserve">   401012</v>
      </c>
      <c r="B8418" t="str">
        <f>T("   Courroies transporteuses, en caoutchouc vulcanisé, renforcées seulement de matières textiles")</f>
        <v xml:space="preserve">   Courroies transporteuses, en caoutchouc vulcanisé, renforcées seulement de matières textiles</v>
      </c>
      <c r="C8418">
        <v>1469784</v>
      </c>
      <c r="D8418">
        <v>700</v>
      </c>
    </row>
    <row r="8419" spans="1:4" x14ac:dyDescent="0.25">
      <c r="A8419" t="str">
        <f>T("   401290")</f>
        <v xml:space="preserve">   401290</v>
      </c>
      <c r="B8419" t="str">
        <f>T("   Bandages pleins ou creux [mi-pleins], bandes de roulement amovibles pour pneumatiques et flaps, en caoutchouc")</f>
        <v xml:space="preserve">   Bandages pleins ou creux [mi-pleins], bandes de roulement amovibles pour pneumatiques et flaps, en caoutchouc</v>
      </c>
      <c r="C8419">
        <v>1750101</v>
      </c>
      <c r="D8419">
        <v>4000</v>
      </c>
    </row>
    <row r="8420" spans="1:4" x14ac:dyDescent="0.25">
      <c r="A8420" t="str">
        <f>T("   420329")</f>
        <v xml:space="preserve">   420329</v>
      </c>
      <c r="B8420"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8420">
        <v>2075306</v>
      </c>
      <c r="D8420">
        <v>290</v>
      </c>
    </row>
    <row r="8421" spans="1:4" x14ac:dyDescent="0.25">
      <c r="A8421" t="str">
        <f>T("   481930")</f>
        <v xml:space="preserve">   481930</v>
      </c>
      <c r="B8421" t="str">
        <f>T("   Sacs, en papier, carton, ouate de cellulose ou nappes de fibres de cellulose, d'une largeur à la base &gt;= 40 cm")</f>
        <v xml:space="preserve">   Sacs, en papier, carton, ouate de cellulose ou nappes de fibres de cellulose, d'une largeur à la base &gt;= 40 cm</v>
      </c>
      <c r="C8421">
        <v>507192443</v>
      </c>
      <c r="D8421">
        <v>656971</v>
      </c>
    </row>
    <row r="8422" spans="1:4" x14ac:dyDescent="0.25">
      <c r="A8422" t="str">
        <f>T("   481940")</f>
        <v xml:space="preserve">   481940</v>
      </c>
      <c r="B8422"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8422">
        <v>213387</v>
      </c>
      <c r="D8422">
        <v>100000</v>
      </c>
    </row>
    <row r="8423" spans="1:4" x14ac:dyDescent="0.25">
      <c r="A8423" t="str">
        <f>T("   630790")</f>
        <v xml:space="preserve">   630790</v>
      </c>
      <c r="B8423" t="str">
        <f>T("   Articles de matières textiles, confectionnés, y.c. les patrons de vêtements n.d.a.")</f>
        <v xml:space="preserve">   Articles de matières textiles, confectionnés, y.c. les patrons de vêtements n.d.a.</v>
      </c>
      <c r="C8423">
        <v>2438486</v>
      </c>
      <c r="D8423">
        <v>340</v>
      </c>
    </row>
    <row r="8424" spans="1:4" x14ac:dyDescent="0.25">
      <c r="A8424" t="str">
        <f>T("   650610")</f>
        <v xml:space="preserve">   650610</v>
      </c>
      <c r="B8424" t="str">
        <f>T("   Coiffures de sécurité, même garnies")</f>
        <v xml:space="preserve">   Coiffures de sécurité, même garnies</v>
      </c>
      <c r="C8424">
        <v>515388</v>
      </c>
      <c r="D8424">
        <v>108</v>
      </c>
    </row>
    <row r="8425" spans="1:4" x14ac:dyDescent="0.25">
      <c r="A8425" t="str">
        <f>T("   732591")</f>
        <v xml:space="preserve">   732591</v>
      </c>
      <c r="B8425" t="str">
        <f>T("   Boulets et simil., pour broyeurs, moulés (sauf en fonte non malléable)")</f>
        <v xml:space="preserve">   Boulets et simil., pour broyeurs, moulés (sauf en fonte non malléable)</v>
      </c>
      <c r="C8425">
        <v>84637864</v>
      </c>
      <c r="D8425">
        <v>90000</v>
      </c>
    </row>
    <row r="8426" spans="1:4" x14ac:dyDescent="0.25">
      <c r="A8426" t="str">
        <f>T("   841381")</f>
        <v xml:space="preserve">   841381</v>
      </c>
      <c r="B8426" t="s">
        <v>398</v>
      </c>
      <c r="C8426">
        <v>1779751</v>
      </c>
      <c r="D8426">
        <v>112</v>
      </c>
    </row>
    <row r="8427" spans="1:4" x14ac:dyDescent="0.25">
      <c r="A8427" t="str">
        <f>T("   841790")</f>
        <v xml:space="preserve">   841790</v>
      </c>
      <c r="B8427" t="str">
        <f>T("   Parties de fours industriels ou de laboratoire non-électriques, y.c. d'incinérateurs, n.d.a.")</f>
        <v xml:space="preserve">   Parties de fours industriels ou de laboratoire non-électriques, y.c. d'incinérateurs, n.d.a.</v>
      </c>
      <c r="C8427">
        <v>427786</v>
      </c>
      <c r="D8427">
        <v>290</v>
      </c>
    </row>
    <row r="8428" spans="1:4" x14ac:dyDescent="0.25">
      <c r="A8428" t="str">
        <f>T("   842139")</f>
        <v xml:space="preserve">   842139</v>
      </c>
      <c r="B8428"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8428">
        <v>1079199</v>
      </c>
      <c r="D8428">
        <v>13</v>
      </c>
    </row>
    <row r="8429" spans="1:4" x14ac:dyDescent="0.25">
      <c r="A8429" t="str">
        <f>T("   842290")</f>
        <v xml:space="preserve">   842290</v>
      </c>
      <c r="B8429"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8429">
        <v>18826318</v>
      </c>
      <c r="D8429">
        <v>678</v>
      </c>
    </row>
    <row r="8430" spans="1:4" x14ac:dyDescent="0.25">
      <c r="A8430" t="str">
        <f>T("   842389")</f>
        <v xml:space="preserve">   842389</v>
      </c>
      <c r="B8430" t="str">
        <f>T("   Appareils et instruments de pesage, portée &gt; 5000 kg")</f>
        <v xml:space="preserve">   Appareils et instruments de pesage, portée &gt; 5000 kg</v>
      </c>
      <c r="C8430">
        <v>4739698</v>
      </c>
      <c r="D8430">
        <v>80</v>
      </c>
    </row>
    <row r="8431" spans="1:4" x14ac:dyDescent="0.25">
      <c r="A8431" t="str">
        <f>T("   843143")</f>
        <v xml:space="preserve">   843143</v>
      </c>
      <c r="B8431" t="str">
        <f>T("   Parties de machines de sondage ou de forage du n° 8430.41 ou 8430.49, n.d.a.")</f>
        <v xml:space="preserve">   Parties de machines de sondage ou de forage du n° 8430.41 ou 8430.49, n.d.a.</v>
      </c>
      <c r="C8431">
        <v>999105</v>
      </c>
      <c r="D8431">
        <v>12</v>
      </c>
    </row>
    <row r="8432" spans="1:4" x14ac:dyDescent="0.25">
      <c r="A8432" t="str">
        <f>T("   847110")</f>
        <v xml:space="preserve">   847110</v>
      </c>
      <c r="B8432" t="str">
        <f>T("   Machines automatiques de traitement de l'information, analogiques ou hybrides")</f>
        <v xml:space="preserve">   Machines automatiques de traitement de l'information, analogiques ou hybrides</v>
      </c>
      <c r="C8432">
        <v>577245</v>
      </c>
      <c r="D8432">
        <v>1500</v>
      </c>
    </row>
    <row r="8433" spans="1:4" x14ac:dyDescent="0.25">
      <c r="A8433" t="str">
        <f>T("   847130")</f>
        <v xml:space="preserve">   847130</v>
      </c>
      <c r="B8433"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8433">
        <v>3520662</v>
      </c>
      <c r="D8433">
        <v>99</v>
      </c>
    </row>
    <row r="8434" spans="1:4" x14ac:dyDescent="0.25">
      <c r="A8434" t="str">
        <f>T("   847149")</f>
        <v xml:space="preserve">   847149</v>
      </c>
      <c r="B8434" t="s">
        <v>435</v>
      </c>
      <c r="C8434">
        <v>5857080</v>
      </c>
      <c r="D8434">
        <v>157</v>
      </c>
    </row>
    <row r="8435" spans="1:4" x14ac:dyDescent="0.25">
      <c r="A8435" t="str">
        <f>T("   847150")</f>
        <v xml:space="preserve">   847150</v>
      </c>
      <c r="B8435" t="s">
        <v>436</v>
      </c>
      <c r="C8435">
        <v>4608841</v>
      </c>
      <c r="D8435">
        <v>105</v>
      </c>
    </row>
    <row r="8436" spans="1:4" x14ac:dyDescent="0.25">
      <c r="A8436" t="str">
        <f>T("   847160")</f>
        <v xml:space="preserve">   847160</v>
      </c>
      <c r="B8436"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8436">
        <v>1485652</v>
      </c>
      <c r="D8436">
        <v>40</v>
      </c>
    </row>
    <row r="8437" spans="1:4" x14ac:dyDescent="0.25">
      <c r="A8437" t="str">
        <f>T("   847490")</f>
        <v xml:space="preserve">   847490</v>
      </c>
      <c r="B8437" t="str">
        <f>T("   Parties des machines et appareils pour le travail des matières minérales du n° 8474, n.d.a.")</f>
        <v xml:space="preserve">   Parties des machines et appareils pour le travail des matières minérales du n° 8474, n.d.a.</v>
      </c>
      <c r="C8437">
        <v>5473703</v>
      </c>
      <c r="D8437">
        <v>415</v>
      </c>
    </row>
    <row r="8438" spans="1:4" x14ac:dyDescent="0.25">
      <c r="A8438" t="str">
        <f>T("   848060")</f>
        <v xml:space="preserve">   848060</v>
      </c>
      <c r="B8438" t="str">
        <f>T("   Moules pour les matières minérales (autres qu'en graphite ou autres formes de carbone, autres qu'en produits céramiques ou en verre)")</f>
        <v xml:space="preserve">   Moules pour les matières minérales (autres qu'en graphite ou autres formes de carbone, autres qu'en produits céramiques ou en verre)</v>
      </c>
      <c r="C8438">
        <v>816316</v>
      </c>
      <c r="D8438">
        <v>27</v>
      </c>
    </row>
    <row r="8439" spans="1:4" x14ac:dyDescent="0.25">
      <c r="A8439" t="str">
        <f>T("   848180")</f>
        <v xml:space="preserve">   848180</v>
      </c>
      <c r="B8439"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8439">
        <v>289061</v>
      </c>
      <c r="D8439">
        <v>4</v>
      </c>
    </row>
    <row r="8440" spans="1:4" x14ac:dyDescent="0.25">
      <c r="A8440" t="str">
        <f>T("   848360")</f>
        <v xml:space="preserve">   848360</v>
      </c>
      <c r="B8440" t="str">
        <f>T("   Embrayages et organes d'accouplement, y.c. les joints d'articulation, pour machines")</f>
        <v xml:space="preserve">   Embrayages et organes d'accouplement, y.c. les joints d'articulation, pour machines</v>
      </c>
      <c r="C8440">
        <v>341231</v>
      </c>
      <c r="D8440">
        <v>4</v>
      </c>
    </row>
    <row r="8441" spans="1:4" x14ac:dyDescent="0.25">
      <c r="A8441" t="str">
        <f>T("   848490")</f>
        <v xml:space="preserve">   848490</v>
      </c>
      <c r="B8441" t="str">
        <f>T("   Jeux ou assortiments de joints de composition différente présentés en pochettes, enveloppes ou emballages analogues")</f>
        <v xml:space="preserve">   Jeux ou assortiments de joints de composition différente présentés en pochettes, enveloppes ou emballages analogues</v>
      </c>
      <c r="C8441">
        <v>4826311</v>
      </c>
      <c r="D8441">
        <v>2</v>
      </c>
    </row>
    <row r="8442" spans="1:4" x14ac:dyDescent="0.25">
      <c r="A8442" t="str">
        <f>T("   850431")</f>
        <v xml:space="preserve">   850431</v>
      </c>
      <c r="B8442" t="str">
        <f>T("   Transformateurs à sec, puissance &lt;= 1 kVA")</f>
        <v xml:space="preserve">   Transformateurs à sec, puissance &lt;= 1 kVA</v>
      </c>
      <c r="C8442">
        <v>187447</v>
      </c>
      <c r="D8442">
        <v>2</v>
      </c>
    </row>
    <row r="8443" spans="1:4" x14ac:dyDescent="0.25">
      <c r="A8443" t="str">
        <f>T("   851629")</f>
        <v xml:space="preserve">   851629</v>
      </c>
      <c r="B8443" t="str">
        <f>T("   Appareils électriques pour le chauffage des locaux, du sol ou pour usages simil. (sauf radiateurs à accumulation)")</f>
        <v xml:space="preserve">   Appareils électriques pour le chauffage des locaux, du sol ou pour usages simil. (sauf radiateurs à accumulation)</v>
      </c>
      <c r="C8443">
        <v>232866</v>
      </c>
      <c r="D8443">
        <v>4000</v>
      </c>
    </row>
    <row r="8444" spans="1:4" x14ac:dyDescent="0.25">
      <c r="A8444" t="str">
        <f>T("   851780")</f>
        <v xml:space="preserve">   851780</v>
      </c>
      <c r="B8444" t="s">
        <v>453</v>
      </c>
      <c r="C8444">
        <v>2330600</v>
      </c>
      <c r="D8444">
        <v>1494</v>
      </c>
    </row>
    <row r="8445" spans="1:4" x14ac:dyDescent="0.25">
      <c r="A8445" t="str">
        <f>T("   852491")</f>
        <v xml:space="preserve">   852491</v>
      </c>
      <c r="B8445" t="s">
        <v>459</v>
      </c>
      <c r="C8445">
        <v>17129603</v>
      </c>
      <c r="D8445">
        <v>1</v>
      </c>
    </row>
    <row r="8446" spans="1:4" x14ac:dyDescent="0.25">
      <c r="A8446" t="str">
        <f>T("   852812")</f>
        <v xml:space="preserve">   852812</v>
      </c>
      <c r="B8446"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446">
        <v>1110540</v>
      </c>
      <c r="D8446">
        <v>5000</v>
      </c>
    </row>
    <row r="8447" spans="1:4" x14ac:dyDescent="0.25">
      <c r="A8447" t="str">
        <f>T("   852910")</f>
        <v xml:space="preserve">   852910</v>
      </c>
      <c r="B8447"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8447">
        <v>126928</v>
      </c>
      <c r="D8447">
        <v>5</v>
      </c>
    </row>
    <row r="8448" spans="1:4" x14ac:dyDescent="0.25">
      <c r="A8448" t="str">
        <f>T("   853620")</f>
        <v xml:space="preserve">   853620</v>
      </c>
      <c r="B8448" t="str">
        <f>T("   Disjoncteurs, pour une tension &lt;= 1.000 V")</f>
        <v xml:space="preserve">   Disjoncteurs, pour une tension &lt;= 1.000 V</v>
      </c>
      <c r="C8448">
        <v>114849</v>
      </c>
      <c r="D8448">
        <v>2</v>
      </c>
    </row>
    <row r="8449" spans="1:4" x14ac:dyDescent="0.25">
      <c r="A8449" t="str">
        <f>T("   853649")</f>
        <v xml:space="preserve">   853649</v>
      </c>
      <c r="B8449" t="str">
        <f>T("   Relais, pour une tension &gt; 60 V mais &lt;= 1.000 V")</f>
        <v xml:space="preserve">   Relais, pour une tension &gt; 60 V mais &lt;= 1.000 V</v>
      </c>
      <c r="C8449">
        <v>155712</v>
      </c>
      <c r="D8449">
        <v>2</v>
      </c>
    </row>
    <row r="8450" spans="1:4" x14ac:dyDescent="0.25">
      <c r="A8450" t="str">
        <f>T("   853650")</f>
        <v xml:space="preserve">   853650</v>
      </c>
      <c r="B8450" t="str">
        <f>T("   Interrupteurs, sectionneurs et commutateurs, pour une tension &lt;= 1.000 V (autres que relais et disjoncteurs)")</f>
        <v xml:space="preserve">   Interrupteurs, sectionneurs et commutateurs, pour une tension &lt;= 1.000 V (autres que relais et disjoncteurs)</v>
      </c>
      <c r="C8450">
        <v>2835336</v>
      </c>
      <c r="D8450">
        <v>26</v>
      </c>
    </row>
    <row r="8451" spans="1:4" x14ac:dyDescent="0.25">
      <c r="A8451" t="str">
        <f>T("   870120")</f>
        <v xml:space="preserve">   870120</v>
      </c>
      <c r="B8451" t="str">
        <f>T("   Tracteurs routiers pour semi-remorques")</f>
        <v xml:space="preserve">   Tracteurs routiers pour semi-remorques</v>
      </c>
      <c r="C8451">
        <v>26316533</v>
      </c>
      <c r="D8451">
        <v>65787</v>
      </c>
    </row>
    <row r="8452" spans="1:4" x14ac:dyDescent="0.25">
      <c r="A8452" t="str">
        <f>T("   870322")</f>
        <v xml:space="preserve">   870322</v>
      </c>
      <c r="B8452" t="s">
        <v>472</v>
      </c>
      <c r="C8452">
        <v>26002225</v>
      </c>
      <c r="D8452">
        <v>21300</v>
      </c>
    </row>
    <row r="8453" spans="1:4" x14ac:dyDescent="0.25">
      <c r="A8453" t="str">
        <f>T("   870323")</f>
        <v xml:space="preserve">   870323</v>
      </c>
      <c r="B8453" t="s">
        <v>473</v>
      </c>
      <c r="C8453">
        <v>14740407</v>
      </c>
      <c r="D8453">
        <v>7319</v>
      </c>
    </row>
    <row r="8454" spans="1:4" x14ac:dyDescent="0.25">
      <c r="A8454" t="str">
        <f>T("   870421")</f>
        <v xml:space="preserve">   870421</v>
      </c>
      <c r="B8454" t="s">
        <v>478</v>
      </c>
      <c r="C8454">
        <v>17855007</v>
      </c>
      <c r="D8454">
        <v>17110</v>
      </c>
    </row>
    <row r="8455" spans="1:4" x14ac:dyDescent="0.25">
      <c r="A8455" t="str">
        <f>T("   870422")</f>
        <v xml:space="preserve">   870422</v>
      </c>
      <c r="B8455" t="s">
        <v>479</v>
      </c>
      <c r="C8455">
        <v>6082040</v>
      </c>
      <c r="D8455">
        <v>18420</v>
      </c>
    </row>
    <row r="8456" spans="1:4" x14ac:dyDescent="0.25">
      <c r="A8456" t="str">
        <f>T("   870431")</f>
        <v xml:space="preserve">   870431</v>
      </c>
      <c r="B8456" t="s">
        <v>481</v>
      </c>
      <c r="C8456">
        <v>2864480</v>
      </c>
      <c r="D8456">
        <v>2690</v>
      </c>
    </row>
    <row r="8457" spans="1:4" x14ac:dyDescent="0.25">
      <c r="A8457" t="str">
        <f>T("   871200")</f>
        <v xml:space="preserve">   871200</v>
      </c>
      <c r="B8457" t="str">
        <f>T("   BICYCLETTES ET AUTRES CYCLES, -Y.C. LES TRIPORTEURS-, SANS MOTEUR")</f>
        <v xml:space="preserve">   BICYCLETTES ET AUTRES CYCLES, -Y.C. LES TRIPORTEURS-, SANS MOTEUR</v>
      </c>
      <c r="C8457">
        <v>710405</v>
      </c>
      <c r="D8457">
        <v>4000</v>
      </c>
    </row>
    <row r="8458" spans="1:4" x14ac:dyDescent="0.25">
      <c r="A8458" t="str">
        <f>T("   871640")</f>
        <v xml:space="preserve">   871640</v>
      </c>
      <c r="B8458"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458">
        <v>22000700</v>
      </c>
      <c r="D8458">
        <v>46890</v>
      </c>
    </row>
    <row r="8459" spans="1:4" x14ac:dyDescent="0.25">
      <c r="A8459" t="str">
        <f>T("   902410")</f>
        <v xml:space="preserve">   902410</v>
      </c>
      <c r="B8459" t="str">
        <f>T("   Machines et appareils d'essais des propriétés mécaniques des métaux")</f>
        <v xml:space="preserve">   Machines et appareils d'essais des propriétés mécaniques des métaux</v>
      </c>
      <c r="C8459">
        <v>10527378</v>
      </c>
      <c r="D8459">
        <v>346</v>
      </c>
    </row>
    <row r="8460" spans="1:4" x14ac:dyDescent="0.25">
      <c r="A8460" t="str">
        <f>T("   902920")</f>
        <v xml:space="preserve">   902920</v>
      </c>
      <c r="B8460" t="str">
        <f>T("   Indicateurs de vitesse et tachymètres; stroboscopes")</f>
        <v xml:space="preserve">   Indicateurs de vitesse et tachymètres; stroboscopes</v>
      </c>
      <c r="C8460">
        <v>1051680</v>
      </c>
      <c r="D8460">
        <v>5</v>
      </c>
    </row>
    <row r="8461" spans="1:4" x14ac:dyDescent="0.25">
      <c r="A8461" t="str">
        <f>T("   940380")</f>
        <v xml:space="preserve">   940380</v>
      </c>
      <c r="B8461" t="str">
        <f>T("   Meubles en rotin, osier, bambou ou autres matières (sauf métal, bois et matières plastiques)")</f>
        <v xml:space="preserve">   Meubles en rotin, osier, bambou ou autres matières (sauf métal, bois et matières plastiques)</v>
      </c>
      <c r="C8461">
        <v>577245</v>
      </c>
      <c r="D8461">
        <v>2500</v>
      </c>
    </row>
    <row r="8462" spans="1:4" x14ac:dyDescent="0.25">
      <c r="A8462" t="str">
        <f>T("NZ")</f>
        <v>NZ</v>
      </c>
      <c r="B8462" t="str">
        <f>T("Nouvelle-Zélande")</f>
        <v>Nouvelle-Zélande</v>
      </c>
    </row>
    <row r="8463" spans="1:4" x14ac:dyDescent="0.25">
      <c r="A8463" t="str">
        <f>T("   ZZ_Total_Produit_SH6")</f>
        <v xml:space="preserve">   ZZ_Total_Produit_SH6</v>
      </c>
      <c r="B8463" t="str">
        <f>T("   ZZ_Total_Produit_SH6")</f>
        <v xml:space="preserve">   ZZ_Total_Produit_SH6</v>
      </c>
      <c r="C8463">
        <v>2977402</v>
      </c>
      <c r="D8463">
        <v>17000</v>
      </c>
    </row>
    <row r="8464" spans="1:4" x14ac:dyDescent="0.25">
      <c r="A8464" t="str">
        <f>T("   030329")</f>
        <v xml:space="preserve">   030329</v>
      </c>
      <c r="B8464" t="str">
        <f>T("   Salmonidés, congelés (à l'excl. des saumons du Pacifique, de l'Atlantique et du Danube ainsi que des truites)")</f>
        <v xml:space="preserve">   Salmonidés, congelés (à l'excl. des saumons du Pacifique, de l'Atlantique et du Danube ainsi que des truites)</v>
      </c>
      <c r="C8464">
        <v>2977402</v>
      </c>
      <c r="D8464">
        <v>17000</v>
      </c>
    </row>
    <row r="8465" spans="1:4" x14ac:dyDescent="0.25">
      <c r="A8465" t="str">
        <f>T("OM")</f>
        <v>OM</v>
      </c>
      <c r="B8465" t="str">
        <f>T("Oman")</f>
        <v>Oman</v>
      </c>
    </row>
    <row r="8466" spans="1:4" x14ac:dyDescent="0.25">
      <c r="A8466" t="str">
        <f>T("   ZZ_Total_Produit_SH6")</f>
        <v xml:space="preserve">   ZZ_Total_Produit_SH6</v>
      </c>
      <c r="B8466" t="str">
        <f>T("   ZZ_Total_Produit_SH6")</f>
        <v xml:space="preserve">   ZZ_Total_Produit_SH6</v>
      </c>
      <c r="C8466">
        <v>116467181</v>
      </c>
      <c r="D8466">
        <v>116965</v>
      </c>
    </row>
    <row r="8467" spans="1:4" x14ac:dyDescent="0.25">
      <c r="A8467" t="str">
        <f>T("   630900")</f>
        <v xml:space="preserve">   630900</v>
      </c>
      <c r="B8467" t="s">
        <v>273</v>
      </c>
      <c r="C8467">
        <v>19681055</v>
      </c>
      <c r="D8467">
        <v>27061</v>
      </c>
    </row>
    <row r="8468" spans="1:4" x14ac:dyDescent="0.25">
      <c r="A8468" t="str">
        <f>T("   870421")</f>
        <v xml:space="preserve">   870421</v>
      </c>
      <c r="B8468" t="s">
        <v>478</v>
      </c>
      <c r="C8468">
        <v>1676645</v>
      </c>
      <c r="D8468">
        <v>1750</v>
      </c>
    </row>
    <row r="8469" spans="1:4" x14ac:dyDescent="0.25">
      <c r="A8469" t="str">
        <f>T("   871639")</f>
        <v xml:space="preserve">   871639</v>
      </c>
      <c r="B8469"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8469">
        <v>94760981</v>
      </c>
      <c r="D8469">
        <v>88000</v>
      </c>
    </row>
    <row r="8470" spans="1:4" x14ac:dyDescent="0.25">
      <c r="A8470" t="str">
        <f>T("   940350")</f>
        <v xml:space="preserve">   940350</v>
      </c>
      <c r="B8470" t="str">
        <f>T("   Meubles pour chambres à coucher, en bois (sauf sièges)")</f>
        <v xml:space="preserve">   Meubles pour chambres à coucher, en bois (sauf sièges)</v>
      </c>
      <c r="C8470">
        <v>348500</v>
      </c>
      <c r="D8470">
        <v>154</v>
      </c>
    </row>
    <row r="8471" spans="1:4" x14ac:dyDescent="0.25">
      <c r="A8471" t="str">
        <f>T("PA")</f>
        <v>PA</v>
      </c>
      <c r="B8471" t="str">
        <f>T("Panama")</f>
        <v>Panama</v>
      </c>
    </row>
    <row r="8472" spans="1:4" x14ac:dyDescent="0.25">
      <c r="A8472" t="str">
        <f>T("   ZZ_Total_Produit_SH6")</f>
        <v xml:space="preserve">   ZZ_Total_Produit_SH6</v>
      </c>
      <c r="B8472" t="str">
        <f>T("   ZZ_Total_Produit_SH6")</f>
        <v xml:space="preserve">   ZZ_Total_Produit_SH6</v>
      </c>
      <c r="C8472">
        <v>47842969</v>
      </c>
      <c r="D8472">
        <v>271375.28000000003</v>
      </c>
    </row>
    <row r="8473" spans="1:4" x14ac:dyDescent="0.25">
      <c r="A8473" t="str">
        <f>T("   441119")</f>
        <v xml:space="preserve">   441119</v>
      </c>
      <c r="B8473" t="s">
        <v>172</v>
      </c>
      <c r="C8473">
        <v>5564017</v>
      </c>
      <c r="D8473">
        <v>39350</v>
      </c>
    </row>
    <row r="8474" spans="1:4" x14ac:dyDescent="0.25">
      <c r="A8474" t="str">
        <f>T("   441191")</f>
        <v xml:space="preserve">   441191</v>
      </c>
      <c r="B8474" t="s">
        <v>174</v>
      </c>
      <c r="C8474">
        <v>10940324</v>
      </c>
      <c r="D8474">
        <v>42750</v>
      </c>
    </row>
    <row r="8475" spans="1:4" x14ac:dyDescent="0.25">
      <c r="A8475" t="str">
        <f>T("   491110")</f>
        <v xml:space="preserve">   491110</v>
      </c>
      <c r="B8475" t="str">
        <f>T("   Imprimés publicitaires, catalogues commerciaux et simil.")</f>
        <v xml:space="preserve">   Imprimés publicitaires, catalogues commerciaux et simil.</v>
      </c>
      <c r="C8475">
        <v>96062</v>
      </c>
      <c r="D8475">
        <v>1197</v>
      </c>
    </row>
    <row r="8476" spans="1:4" x14ac:dyDescent="0.25">
      <c r="A8476" t="str">
        <f>T("   640590")</f>
        <v xml:space="preserve">   640590</v>
      </c>
      <c r="B8476" t="s">
        <v>283</v>
      </c>
      <c r="C8476">
        <v>5400519</v>
      </c>
      <c r="D8476">
        <v>20164</v>
      </c>
    </row>
    <row r="8477" spans="1:4" x14ac:dyDescent="0.25">
      <c r="A8477" t="str">
        <f>T("   690890")</f>
        <v xml:space="preserve">   690890</v>
      </c>
      <c r="B8477" t="s">
        <v>307</v>
      </c>
      <c r="C8477">
        <v>14377452</v>
      </c>
      <c r="D8477">
        <v>157020</v>
      </c>
    </row>
    <row r="8478" spans="1:4" x14ac:dyDescent="0.25">
      <c r="A8478" t="str">
        <f>T("   732181")</f>
        <v xml:space="preserve">   732181</v>
      </c>
      <c r="B8478" t="s">
        <v>358</v>
      </c>
      <c r="C8478">
        <v>8442610</v>
      </c>
      <c r="D8478">
        <v>5139.28</v>
      </c>
    </row>
    <row r="8479" spans="1:4" x14ac:dyDescent="0.25">
      <c r="A8479" t="str">
        <f>T("   950349")</f>
        <v xml:space="preserve">   950349</v>
      </c>
      <c r="B8479" t="str">
        <f>T("   JOUETS REPRÉSENTANT DES ANIMAUX OU DES CRÉATURES NON-HUMAINES, NON-REMBOURRÉS")</f>
        <v xml:space="preserve">   JOUETS REPRÉSENTANT DES ANIMAUX OU DES CRÉATURES NON-HUMAINES, NON-REMBOURRÉS</v>
      </c>
      <c r="C8479">
        <v>3021985</v>
      </c>
      <c r="D8479">
        <v>5755</v>
      </c>
    </row>
    <row r="8480" spans="1:4" x14ac:dyDescent="0.25">
      <c r="A8480" t="str">
        <f>T("PE")</f>
        <v>PE</v>
      </c>
      <c r="B8480" t="str">
        <f>T("Pérou")</f>
        <v>Pérou</v>
      </c>
    </row>
    <row r="8481" spans="1:4" x14ac:dyDescent="0.25">
      <c r="A8481" t="str">
        <f>T("   ZZ_Total_Produit_SH6")</f>
        <v xml:space="preserve">   ZZ_Total_Produit_SH6</v>
      </c>
      <c r="B8481" t="str">
        <f>T("   ZZ_Total_Produit_SH6")</f>
        <v xml:space="preserve">   ZZ_Total_Produit_SH6</v>
      </c>
      <c r="C8481">
        <v>74377336</v>
      </c>
      <c r="D8481">
        <v>425000</v>
      </c>
    </row>
    <row r="8482" spans="1:4" x14ac:dyDescent="0.25">
      <c r="A8482" t="str">
        <f>T("   030329")</f>
        <v xml:space="preserve">   030329</v>
      </c>
      <c r="B8482" t="str">
        <f>T("   Salmonidés, congelés (à l'excl. des saumons du Pacifique, de l'Atlantique et du Danube ainsi que des truites)")</f>
        <v xml:space="preserve">   Salmonidés, congelés (à l'excl. des saumons du Pacifique, de l'Atlantique et du Danube ainsi que des truites)</v>
      </c>
      <c r="C8482">
        <v>74377336</v>
      </c>
      <c r="D8482">
        <v>425000</v>
      </c>
    </row>
    <row r="8483" spans="1:4" x14ac:dyDescent="0.25">
      <c r="A8483" t="str">
        <f>T("PH")</f>
        <v>PH</v>
      </c>
      <c r="B8483" t="str">
        <f>T("Philippines")</f>
        <v>Philippines</v>
      </c>
    </row>
    <row r="8484" spans="1:4" x14ac:dyDescent="0.25">
      <c r="A8484" t="str">
        <f>T("   ZZ_Total_Produit_SH6")</f>
        <v xml:space="preserve">   ZZ_Total_Produit_SH6</v>
      </c>
      <c r="B8484" t="str">
        <f>T("   ZZ_Total_Produit_SH6")</f>
        <v xml:space="preserve">   ZZ_Total_Produit_SH6</v>
      </c>
      <c r="C8484">
        <v>4952008</v>
      </c>
      <c r="D8484">
        <v>5790</v>
      </c>
    </row>
    <row r="8485" spans="1:4" x14ac:dyDescent="0.25">
      <c r="A8485" t="str">
        <f>T("   870323")</f>
        <v xml:space="preserve">   870323</v>
      </c>
      <c r="B8485" t="s">
        <v>473</v>
      </c>
      <c r="C8485">
        <v>1801719</v>
      </c>
      <c r="D8485">
        <v>1300</v>
      </c>
    </row>
    <row r="8486" spans="1:4" x14ac:dyDescent="0.25">
      <c r="A8486" t="str">
        <f>T("   940360")</f>
        <v xml:space="preserve">   940360</v>
      </c>
      <c r="B8486" t="str">
        <f>T("   Meubles en bois (autres que pour bureaux, cuisines ou chambres à coucher et autres que sièges)")</f>
        <v xml:space="preserve">   Meubles en bois (autres que pour bureaux, cuisines ou chambres à coucher et autres que sièges)</v>
      </c>
      <c r="C8486">
        <v>3150289</v>
      </c>
      <c r="D8486">
        <v>4490</v>
      </c>
    </row>
    <row r="8487" spans="1:4" x14ac:dyDescent="0.25">
      <c r="A8487" t="str">
        <f>T("PK")</f>
        <v>PK</v>
      </c>
      <c r="B8487" t="str">
        <f>T("Pakistan")</f>
        <v>Pakistan</v>
      </c>
    </row>
    <row r="8488" spans="1:4" x14ac:dyDescent="0.25">
      <c r="A8488" t="str">
        <f>T("   ZZ_Total_Produit_SH6")</f>
        <v xml:space="preserve">   ZZ_Total_Produit_SH6</v>
      </c>
      <c r="B8488" t="str">
        <f>T("   ZZ_Total_Produit_SH6")</f>
        <v xml:space="preserve">   ZZ_Total_Produit_SH6</v>
      </c>
      <c r="C8488">
        <v>5170494546.4510002</v>
      </c>
      <c r="D8488">
        <v>18974952</v>
      </c>
    </row>
    <row r="8489" spans="1:4" x14ac:dyDescent="0.25">
      <c r="A8489" t="str">
        <f>T("   091050")</f>
        <v xml:space="preserve">   091050</v>
      </c>
      <c r="B8489" t="str">
        <f>T("   Curry")</f>
        <v xml:space="preserve">   Curry</v>
      </c>
      <c r="C8489">
        <v>39786</v>
      </c>
      <c r="D8489">
        <v>60</v>
      </c>
    </row>
    <row r="8490" spans="1:4" x14ac:dyDescent="0.25">
      <c r="A8490" t="str">
        <f>T("   091099")</f>
        <v xml:space="preserve">   091099</v>
      </c>
      <c r="B8490" t="s">
        <v>26</v>
      </c>
      <c r="C8490">
        <v>92035</v>
      </c>
      <c r="D8490">
        <v>2178</v>
      </c>
    </row>
    <row r="8491" spans="1:4" x14ac:dyDescent="0.25">
      <c r="A8491" t="str">
        <f>T("   100620")</f>
        <v xml:space="preserve">   100620</v>
      </c>
      <c r="B8491" t="str">
        <f>T("   Riz décortiqué [riz cargo ou riz brun]")</f>
        <v xml:space="preserve">   Riz décortiqué [riz cargo ou riz brun]</v>
      </c>
      <c r="C8491">
        <v>141522291.11700001</v>
      </c>
      <c r="D8491">
        <v>546000</v>
      </c>
    </row>
    <row r="8492" spans="1:4" x14ac:dyDescent="0.25">
      <c r="A8492" t="str">
        <f>T("   100630")</f>
        <v xml:space="preserve">   100630</v>
      </c>
      <c r="B8492" t="str">
        <f>T("   Riz semi-blanchi ou blanchi, même poli ou glacé")</f>
        <v xml:space="preserve">   Riz semi-blanchi ou blanchi, même poli ou glacé</v>
      </c>
      <c r="C8492">
        <v>4320142838.842</v>
      </c>
      <c r="D8492">
        <v>16131643</v>
      </c>
    </row>
    <row r="8493" spans="1:4" x14ac:dyDescent="0.25">
      <c r="A8493" t="str">
        <f>T("   100640")</f>
        <v xml:space="preserve">   100640</v>
      </c>
      <c r="B8493" t="str">
        <f>T("   Riz en brisures")</f>
        <v xml:space="preserve">   Riz en brisures</v>
      </c>
      <c r="C8493">
        <v>238333904.49200001</v>
      </c>
      <c r="D8493">
        <v>890000</v>
      </c>
    </row>
    <row r="8494" spans="1:4" x14ac:dyDescent="0.25">
      <c r="A8494" t="str">
        <f>T("   170490")</f>
        <v xml:space="preserve">   170490</v>
      </c>
      <c r="B8494" t="str">
        <f>T("   Sucreries sans cacao, y.c. le chocolat blanc (à l'excl. des gommes à mâcher)")</f>
        <v xml:space="preserve">   Sucreries sans cacao, y.c. le chocolat blanc (à l'excl. des gommes à mâcher)</v>
      </c>
      <c r="C8494">
        <v>4251835</v>
      </c>
      <c r="D8494">
        <v>9518</v>
      </c>
    </row>
    <row r="8495" spans="1:4" x14ac:dyDescent="0.25">
      <c r="A8495" t="str">
        <f>T("   190219")</f>
        <v xml:space="preserve">   190219</v>
      </c>
      <c r="B8495" t="str">
        <f>T("   PÂTES ALIMENTAIRES NON-CUITES NI FARCIES NI AUTREMENT PRÉPARÉES, NE CONTENANT PAS D'OEUFS")</f>
        <v xml:space="preserve">   PÂTES ALIMENTAIRES NON-CUITES NI FARCIES NI AUTREMENT PRÉPARÉES, NE CONTENANT PAS D'OEUFS</v>
      </c>
      <c r="C8495">
        <v>11025</v>
      </c>
      <c r="D8495">
        <v>140</v>
      </c>
    </row>
    <row r="8496" spans="1:4" x14ac:dyDescent="0.25">
      <c r="A8496" t="str">
        <f>T("   200190")</f>
        <v xml:space="preserve">   200190</v>
      </c>
      <c r="B8496"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8496">
        <v>85804</v>
      </c>
      <c r="D8496">
        <v>425</v>
      </c>
    </row>
    <row r="8497" spans="1:4" x14ac:dyDescent="0.25">
      <c r="A8497" t="str">
        <f>T("   210690")</f>
        <v xml:space="preserve">   210690</v>
      </c>
      <c r="B8497" t="str">
        <f>T("   Préparations alimentaires, n.d.a.")</f>
        <v xml:space="preserve">   Préparations alimentaires, n.d.a.</v>
      </c>
      <c r="C8497">
        <v>62316</v>
      </c>
      <c r="D8497">
        <v>500</v>
      </c>
    </row>
    <row r="8498" spans="1:4" x14ac:dyDescent="0.25">
      <c r="A8498" t="str">
        <f>T("   252329")</f>
        <v xml:space="preserve">   252329</v>
      </c>
      <c r="B8498" t="str">
        <f>T("   Ciment Portland normal ou modéré (à l'excl. des ciments Portland blancs, même colorés artificiellement)")</f>
        <v xml:space="preserve">   Ciment Portland normal ou modéré (à l'excl. des ciments Portland blancs, même colorés artificiellement)</v>
      </c>
      <c r="C8498">
        <v>21280000</v>
      </c>
      <c r="D8498">
        <v>560000</v>
      </c>
    </row>
    <row r="8499" spans="1:4" x14ac:dyDescent="0.25">
      <c r="A8499" t="str">
        <f>T("   253090")</f>
        <v xml:space="preserve">   253090</v>
      </c>
      <c r="B8499" t="str">
        <f>T("   Sulfures d'arsenic, alunite, terre de pouzzolane, terres colorantes et autres matières minérales, n.d.a.")</f>
        <v xml:space="preserve">   Sulfures d'arsenic, alunite, terre de pouzzolane, terres colorantes et autres matières minérales, n.d.a.</v>
      </c>
      <c r="C8499">
        <v>7429925</v>
      </c>
      <c r="D8499">
        <v>15800</v>
      </c>
    </row>
    <row r="8500" spans="1:4" x14ac:dyDescent="0.25">
      <c r="A8500" t="str">
        <f>T("   280610")</f>
        <v xml:space="preserve">   280610</v>
      </c>
      <c r="B8500" t="str">
        <f>T("   Chlorure d'hydrogène [acide chlorhydrique]")</f>
        <v xml:space="preserve">   Chlorure d'hydrogène [acide chlorhydrique]</v>
      </c>
      <c r="C8500">
        <v>2139679</v>
      </c>
      <c r="D8500">
        <v>23040</v>
      </c>
    </row>
    <row r="8501" spans="1:4" x14ac:dyDescent="0.25">
      <c r="A8501" t="str">
        <f>T("   360500")</f>
        <v xml:space="preserve">   360500</v>
      </c>
      <c r="B8501" t="str">
        <f>T("   Allumettes (autres que les articles de pyrotechnie du n° 3604)")</f>
        <v xml:space="preserve">   Allumettes (autres que les articles de pyrotechnie du n° 3604)</v>
      </c>
      <c r="C8501">
        <v>8516611</v>
      </c>
      <c r="D8501">
        <v>18920</v>
      </c>
    </row>
    <row r="8502" spans="1:4" x14ac:dyDescent="0.25">
      <c r="A8502" t="str">
        <f>T("   392390")</f>
        <v xml:space="preserve">   392390</v>
      </c>
      <c r="B8502" t="s">
        <v>142</v>
      </c>
      <c r="C8502">
        <v>2876</v>
      </c>
      <c r="D8502">
        <v>40</v>
      </c>
    </row>
    <row r="8503" spans="1:4" x14ac:dyDescent="0.25">
      <c r="A8503" t="str">
        <f>T("   490199")</f>
        <v xml:space="preserve">   490199</v>
      </c>
      <c r="B850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503">
        <v>9108</v>
      </c>
      <c r="D8503">
        <v>1</v>
      </c>
    </row>
    <row r="8504" spans="1:4" x14ac:dyDescent="0.25">
      <c r="A8504" t="str">
        <f>T("   610990")</f>
        <v xml:space="preserve">   610990</v>
      </c>
      <c r="B8504" t="str">
        <f>T("   T-shirts et maillots de corps, en bonneterie, de matières textiles (sauf de coton)")</f>
        <v xml:space="preserve">   T-shirts et maillots de corps, en bonneterie, de matières textiles (sauf de coton)</v>
      </c>
      <c r="C8504">
        <v>7367752</v>
      </c>
      <c r="D8504">
        <v>6630</v>
      </c>
    </row>
    <row r="8505" spans="1:4" x14ac:dyDescent="0.25">
      <c r="A8505" t="str">
        <f>T("   620342")</f>
        <v xml:space="preserve">   620342</v>
      </c>
      <c r="B8505"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8505">
        <v>14516636</v>
      </c>
      <c r="D8505">
        <v>18954</v>
      </c>
    </row>
    <row r="8506" spans="1:4" x14ac:dyDescent="0.25">
      <c r="A8506" t="str">
        <f>T("   620349")</f>
        <v xml:space="preserve">   620349</v>
      </c>
      <c r="B8506" t="s">
        <v>261</v>
      </c>
      <c r="C8506">
        <v>14518552</v>
      </c>
      <c r="D8506">
        <v>23893</v>
      </c>
    </row>
    <row r="8507" spans="1:4" x14ac:dyDescent="0.25">
      <c r="A8507" t="str">
        <f>T("   630900")</f>
        <v xml:space="preserve">   630900</v>
      </c>
      <c r="B8507" t="s">
        <v>273</v>
      </c>
      <c r="C8507">
        <v>7889622</v>
      </c>
      <c r="D8507">
        <v>15000</v>
      </c>
    </row>
    <row r="8508" spans="1:4" x14ac:dyDescent="0.25">
      <c r="A8508" t="str">
        <f>T("   640590")</f>
        <v xml:space="preserve">   640590</v>
      </c>
      <c r="B8508" t="s">
        <v>283</v>
      </c>
      <c r="C8508">
        <v>517552</v>
      </c>
      <c r="D8508">
        <v>2505</v>
      </c>
    </row>
    <row r="8509" spans="1:4" x14ac:dyDescent="0.25">
      <c r="A8509" t="str">
        <f>T("   721420")</f>
        <v xml:space="preserve">   721420</v>
      </c>
      <c r="B8509"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8509">
        <v>212404112</v>
      </c>
      <c r="D8509">
        <v>671020</v>
      </c>
    </row>
    <row r="8510" spans="1:4" x14ac:dyDescent="0.25">
      <c r="A8510" t="str">
        <f>T("   732490")</f>
        <v xml:space="preserve">   732490</v>
      </c>
      <c r="B8510" t="s">
        <v>364</v>
      </c>
      <c r="C8510">
        <v>271567</v>
      </c>
      <c r="D8510">
        <v>20</v>
      </c>
    </row>
    <row r="8511" spans="1:4" x14ac:dyDescent="0.25">
      <c r="A8511" t="str">
        <f>T("   846599")</f>
        <v xml:space="preserve">   846599</v>
      </c>
      <c r="B8511" t="s">
        <v>431</v>
      </c>
      <c r="C8511">
        <v>5375000</v>
      </c>
      <c r="D8511">
        <v>6000</v>
      </c>
    </row>
    <row r="8512" spans="1:4" x14ac:dyDescent="0.25">
      <c r="A8512" t="str">
        <f>T("   850610")</f>
        <v xml:space="preserve">   850610</v>
      </c>
      <c r="B8512" t="str">
        <f>T("   Piles et batteries de piles électriques, au bioxyde de manganèse (sauf hors d'usage)")</f>
        <v xml:space="preserve">   Piles et batteries de piles électriques, au bioxyde de manganèse (sauf hors d'usage)</v>
      </c>
      <c r="C8512">
        <v>11393143</v>
      </c>
      <c r="D8512">
        <v>4450</v>
      </c>
    </row>
    <row r="8513" spans="1:4" x14ac:dyDescent="0.25">
      <c r="A8513" t="str">
        <f>T("   850780")</f>
        <v xml:space="preserve">   850780</v>
      </c>
      <c r="B8513" t="str">
        <f>T("   Accumulateurs électriques (sauf hors d'usage et autres qu'au plomb, au nickel-cadmium ou au nickel-fer)")</f>
        <v xml:space="preserve">   Accumulateurs électriques (sauf hors d'usage et autres qu'au plomb, au nickel-cadmium ou au nickel-fer)</v>
      </c>
      <c r="C8513">
        <v>52728500</v>
      </c>
      <c r="D8513">
        <v>1315</v>
      </c>
    </row>
    <row r="8514" spans="1:4" x14ac:dyDescent="0.25">
      <c r="A8514" t="str">
        <f>T("   851711")</f>
        <v xml:space="preserve">   851711</v>
      </c>
      <c r="B8514" t="str">
        <f>T("   Postes téléphoniques d'usagers pour la téléphonie par fil à combinés sans fil")</f>
        <v xml:space="preserve">   Postes téléphoniques d'usagers pour la téléphonie par fil à combinés sans fil</v>
      </c>
      <c r="C8514">
        <v>65155649</v>
      </c>
      <c r="D8514">
        <v>11500</v>
      </c>
    </row>
    <row r="8515" spans="1:4" x14ac:dyDescent="0.25">
      <c r="A8515" t="str">
        <f>T("   901890")</f>
        <v xml:space="preserve">   901890</v>
      </c>
      <c r="B8515" t="str">
        <f>T("   Instruments et appareils pour la médecine, la chirurgie ou l'art vétérinaire, n.d.a.")</f>
        <v xml:space="preserve">   Instruments et appareils pour la médecine, la chirurgie ou l'art vétérinaire, n.d.a.</v>
      </c>
      <c r="C8515">
        <v>6272945</v>
      </c>
      <c r="D8515">
        <v>200</v>
      </c>
    </row>
    <row r="8516" spans="1:4" x14ac:dyDescent="0.25">
      <c r="A8516" t="str">
        <f>T("   903289")</f>
        <v xml:space="preserve">   903289</v>
      </c>
      <c r="B8516" t="s">
        <v>501</v>
      </c>
      <c r="C8516">
        <v>25573323</v>
      </c>
      <c r="D8516">
        <v>2700</v>
      </c>
    </row>
    <row r="8517" spans="1:4" x14ac:dyDescent="0.25">
      <c r="A8517" t="str">
        <f>T("   940380")</f>
        <v xml:space="preserve">   940380</v>
      </c>
      <c r="B8517" t="str">
        <f>T("   Meubles en rotin, osier, bambou ou autres matières (sauf métal, bois et matières plastiques)")</f>
        <v xml:space="preserve">   Meubles en rotin, osier, bambou ou autres matières (sauf métal, bois et matières plastiques)</v>
      </c>
      <c r="C8517">
        <v>2575299</v>
      </c>
      <c r="D8517">
        <v>12480</v>
      </c>
    </row>
    <row r="8518" spans="1:4" x14ac:dyDescent="0.25">
      <c r="A8518" t="str">
        <f>T("   950699")</f>
        <v xml:space="preserve">   950699</v>
      </c>
      <c r="B8518" t="str">
        <f>T("   Articles et matériel pour le sport et les jeux de plein air, n.d.a.; piscines et pataugeoires")</f>
        <v xml:space="preserve">   Articles et matériel pour le sport et les jeux de plein air, n.d.a.; piscines et pataugeoires</v>
      </c>
      <c r="C8518">
        <v>14860</v>
      </c>
      <c r="D8518">
        <v>20</v>
      </c>
    </row>
    <row r="8519" spans="1:4" x14ac:dyDescent="0.25">
      <c r="A8519" t="str">
        <f>T("PL")</f>
        <v>PL</v>
      </c>
      <c r="B8519" t="str">
        <f>T("Pologne")</f>
        <v>Pologne</v>
      </c>
    </row>
    <row r="8520" spans="1:4" x14ac:dyDescent="0.25">
      <c r="A8520" t="str">
        <f>T("   ZZ_Total_Produit_SH6")</f>
        <v xml:space="preserve">   ZZ_Total_Produit_SH6</v>
      </c>
      <c r="B8520" t="str">
        <f>T("   ZZ_Total_Produit_SH6")</f>
        <v xml:space="preserve">   ZZ_Total_Produit_SH6</v>
      </c>
      <c r="C8520">
        <v>6756381977</v>
      </c>
      <c r="D8520">
        <v>12053143</v>
      </c>
    </row>
    <row r="8521" spans="1:4" x14ac:dyDescent="0.25">
      <c r="A8521" t="str">
        <f>T("   020712")</f>
        <v xml:space="preserve">   020712</v>
      </c>
      <c r="B8521" t="str">
        <f>T("   COQS ET POULES [DES ESPÈCES DOMESTIQUES], NON-DÉCOUPÉS EN MORCEAUX, CONGELÉS")</f>
        <v xml:space="preserve">   COQS ET POULES [DES ESPÈCES DOMESTIQUES], NON-DÉCOUPÉS EN MORCEAUX, CONGELÉS</v>
      </c>
      <c r="C8521">
        <v>196101678</v>
      </c>
      <c r="D8521">
        <v>322560</v>
      </c>
    </row>
    <row r="8522" spans="1:4" x14ac:dyDescent="0.25">
      <c r="A8522" t="str">
        <f>T("   020714")</f>
        <v xml:space="preserve">   020714</v>
      </c>
      <c r="B8522" t="str">
        <f>T("   Morceaux et abats comestibles de coqs et de poules [des espèces domestiques], congelés")</f>
        <v xml:space="preserve">   Morceaux et abats comestibles de coqs et de poules [des espèces domestiques], congelés</v>
      </c>
      <c r="C8522">
        <v>4740561541</v>
      </c>
      <c r="D8522">
        <v>8087198</v>
      </c>
    </row>
    <row r="8523" spans="1:4" x14ac:dyDescent="0.25">
      <c r="A8523" t="str">
        <f>T("   020727")</f>
        <v xml:space="preserve">   020727</v>
      </c>
      <c r="B8523" t="str">
        <f>T("   Morceaux et abats comestibles de dindes et dindons [des espèces domestiques], congelés")</f>
        <v xml:space="preserve">   Morceaux et abats comestibles de dindes et dindons [des espèces domestiques], congelés</v>
      </c>
      <c r="C8523">
        <v>603150911</v>
      </c>
      <c r="D8523">
        <v>965931</v>
      </c>
    </row>
    <row r="8524" spans="1:4" x14ac:dyDescent="0.25">
      <c r="A8524" t="str">
        <f>T("   220290")</f>
        <v xml:space="preserve">   220290</v>
      </c>
      <c r="B8524" t="str">
        <f>T("   BOISSONS NON-ALCOOLIQUES (À L'EXCL. DES EAUX, DES JUS DE FRUITS OU DE LÉGUMES AINSI QUE DU LAIT)")</f>
        <v xml:space="preserve">   BOISSONS NON-ALCOOLIQUES (À L'EXCL. DES EAUX, DES JUS DE FRUITS OU DE LÉGUMES AINSI QUE DU LAIT)</v>
      </c>
      <c r="C8524">
        <v>69487731</v>
      </c>
      <c r="D8524">
        <v>271459</v>
      </c>
    </row>
    <row r="8525" spans="1:4" x14ac:dyDescent="0.25">
      <c r="A8525" t="str">
        <f>T("   220300")</f>
        <v xml:space="preserve">   220300</v>
      </c>
      <c r="B8525" t="str">
        <f>T("   Bières de malt")</f>
        <v xml:space="preserve">   Bières de malt</v>
      </c>
      <c r="C8525">
        <v>65498262</v>
      </c>
      <c r="D8525">
        <v>258666</v>
      </c>
    </row>
    <row r="8526" spans="1:4" x14ac:dyDescent="0.25">
      <c r="A8526" t="str">
        <f>T("   271019")</f>
        <v xml:space="preserve">   271019</v>
      </c>
      <c r="B8526" t="str">
        <f>T("   Huiles moyennes et préparations, de pétrole ou de minéraux bitumineux, n.d.a.")</f>
        <v xml:space="preserve">   Huiles moyennes et préparations, de pétrole ou de minéraux bitumineux, n.d.a.</v>
      </c>
      <c r="C8526">
        <v>5220130</v>
      </c>
      <c r="D8526">
        <v>16276</v>
      </c>
    </row>
    <row r="8527" spans="1:4" x14ac:dyDescent="0.25">
      <c r="A8527" t="str">
        <f>T("   281511")</f>
        <v xml:space="preserve">   281511</v>
      </c>
      <c r="B8527" t="str">
        <f>T("   Hydroxyde de sodium [soude caustique], solide")</f>
        <v xml:space="preserve">   Hydroxyde de sodium [soude caustique], solide</v>
      </c>
      <c r="C8527">
        <v>158809228</v>
      </c>
      <c r="D8527">
        <v>343112</v>
      </c>
    </row>
    <row r="8528" spans="1:4" x14ac:dyDescent="0.25">
      <c r="A8528" t="str">
        <f>T("   310520")</f>
        <v xml:space="preserve">   310520</v>
      </c>
      <c r="B8528" t="str">
        <f>T("   Engrais minéraux ou chimiques contenant les trois éléments fertilisants : azote, phosphore et potassium (à l'excl. des produits présentés soit en tablettes ou formes simil., soit en emballages d'un poids brut &lt;= 10 kg)")</f>
        <v xml:space="preserve">   Engrais minéraux ou chimiques contenant les trois éléments fertilisants : azote, phosphore et potassium (à l'excl. des produits présentés soit en tablettes ou formes simil., soit en emballages d'un poids brut &lt;= 10 kg)</v>
      </c>
      <c r="C8528">
        <v>36086314</v>
      </c>
      <c r="D8528">
        <v>101650</v>
      </c>
    </row>
    <row r="8529" spans="1:4" x14ac:dyDescent="0.25">
      <c r="A8529" t="str">
        <f>T("   330730")</f>
        <v xml:space="preserve">   330730</v>
      </c>
      <c r="B8529" t="str">
        <f>T("   Sels parfumés et autres préparations pour bains")</f>
        <v xml:space="preserve">   Sels parfumés et autres préparations pour bains</v>
      </c>
      <c r="C8529">
        <v>281310</v>
      </c>
      <c r="D8529">
        <v>668.43</v>
      </c>
    </row>
    <row r="8530" spans="1:4" x14ac:dyDescent="0.25">
      <c r="A8530" t="str">
        <f>T("   340111")</f>
        <v xml:space="preserve">   340111</v>
      </c>
      <c r="B8530" t="s">
        <v>98</v>
      </c>
      <c r="C8530">
        <v>1349966</v>
      </c>
      <c r="D8530">
        <v>2478</v>
      </c>
    </row>
    <row r="8531" spans="1:4" x14ac:dyDescent="0.25">
      <c r="A8531" t="str">
        <f>T("   340220")</f>
        <v xml:space="preserve">   340220</v>
      </c>
      <c r="B8531" t="s">
        <v>100</v>
      </c>
      <c r="C8531">
        <v>6075879</v>
      </c>
      <c r="D8531">
        <v>12864.76</v>
      </c>
    </row>
    <row r="8532" spans="1:4" x14ac:dyDescent="0.25">
      <c r="A8532" t="str">
        <f>T("   340540")</f>
        <v xml:space="preserve">   340540</v>
      </c>
      <c r="B8532"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8532">
        <v>329246</v>
      </c>
      <c r="D8532">
        <v>896.96</v>
      </c>
    </row>
    <row r="8533" spans="1:4" x14ac:dyDescent="0.25">
      <c r="A8533" t="str">
        <f>T("   382490")</f>
        <v xml:space="preserve">   382490</v>
      </c>
      <c r="B8533"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8533">
        <v>365830</v>
      </c>
      <c r="D8533">
        <v>988.85</v>
      </c>
    </row>
    <row r="8534" spans="1:4" x14ac:dyDescent="0.25">
      <c r="A8534" t="str">
        <f>T("   392490")</f>
        <v xml:space="preserve">   392490</v>
      </c>
      <c r="B8534" t="s">
        <v>143</v>
      </c>
      <c r="C8534">
        <v>104953</v>
      </c>
      <c r="D8534">
        <v>192</v>
      </c>
    </row>
    <row r="8535" spans="1:4" x14ac:dyDescent="0.25">
      <c r="A8535" t="str">
        <f>T("   491110")</f>
        <v xml:space="preserve">   491110</v>
      </c>
      <c r="B8535" t="str">
        <f>T("   Imprimés publicitaires, catalogues commerciaux et simil.")</f>
        <v xml:space="preserve">   Imprimés publicitaires, catalogues commerciaux et simil.</v>
      </c>
      <c r="C8535">
        <v>22303</v>
      </c>
      <c r="D8535">
        <v>230</v>
      </c>
    </row>
    <row r="8536" spans="1:4" x14ac:dyDescent="0.25">
      <c r="A8536" t="str">
        <f>T("   570500")</f>
        <v xml:space="preserve">   570500</v>
      </c>
      <c r="B8536"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8536">
        <v>50509</v>
      </c>
      <c r="D8536">
        <v>5</v>
      </c>
    </row>
    <row r="8537" spans="1:4" x14ac:dyDescent="0.25">
      <c r="A8537" t="str">
        <f>T("   630900")</f>
        <v xml:space="preserve">   630900</v>
      </c>
      <c r="B8537" t="s">
        <v>273</v>
      </c>
      <c r="C8537">
        <v>754263995</v>
      </c>
      <c r="D8537">
        <v>1419163</v>
      </c>
    </row>
    <row r="8538" spans="1:4" x14ac:dyDescent="0.25">
      <c r="A8538" t="str">
        <f>T("   701090")</f>
        <v xml:space="preserve">   701090</v>
      </c>
      <c r="B8538" t="s">
        <v>320</v>
      </c>
      <c r="C8538">
        <v>58499825</v>
      </c>
      <c r="D8538">
        <v>118215</v>
      </c>
    </row>
    <row r="8539" spans="1:4" x14ac:dyDescent="0.25">
      <c r="A8539" t="str">
        <f>T("   842290")</f>
        <v xml:space="preserve">   842290</v>
      </c>
      <c r="B8539"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8539">
        <v>594759</v>
      </c>
      <c r="D8539">
        <v>190</v>
      </c>
    </row>
    <row r="8540" spans="1:4" x14ac:dyDescent="0.25">
      <c r="A8540" t="str">
        <f>T("   870120")</f>
        <v xml:space="preserve">   870120</v>
      </c>
      <c r="B8540" t="str">
        <f>T("   Tracteurs routiers pour semi-remorques")</f>
        <v xml:space="preserve">   Tracteurs routiers pour semi-remorques</v>
      </c>
      <c r="C8540">
        <v>41517135</v>
      </c>
      <c r="D8540">
        <v>85621</v>
      </c>
    </row>
    <row r="8541" spans="1:4" x14ac:dyDescent="0.25">
      <c r="A8541" t="str">
        <f>T("   870210")</f>
        <v xml:space="preserve">   870210</v>
      </c>
      <c r="B8541" t="s">
        <v>469</v>
      </c>
      <c r="C8541">
        <v>1200000</v>
      </c>
      <c r="D8541">
        <v>1200</v>
      </c>
    </row>
    <row r="8542" spans="1:4" x14ac:dyDescent="0.25">
      <c r="A8542" t="str">
        <f>T("   870290")</f>
        <v xml:space="preserve">   870290</v>
      </c>
      <c r="B8542" t="s">
        <v>470</v>
      </c>
      <c r="C8542">
        <v>1200000</v>
      </c>
      <c r="D8542">
        <v>10000</v>
      </c>
    </row>
    <row r="8543" spans="1:4" x14ac:dyDescent="0.25">
      <c r="A8543" t="str">
        <f>T("   870322")</f>
        <v xml:space="preserve">   870322</v>
      </c>
      <c r="B8543" t="s">
        <v>472</v>
      </c>
      <c r="C8543">
        <v>7200000</v>
      </c>
      <c r="D8543">
        <v>5760</v>
      </c>
    </row>
    <row r="8544" spans="1:4" x14ac:dyDescent="0.25">
      <c r="A8544" t="str">
        <f>T("   870331")</f>
        <v xml:space="preserve">   870331</v>
      </c>
      <c r="B8544" t="s">
        <v>475</v>
      </c>
      <c r="C8544">
        <v>1200000</v>
      </c>
      <c r="D8544">
        <v>1158</v>
      </c>
    </row>
    <row r="8545" spans="1:4" x14ac:dyDescent="0.25">
      <c r="A8545" t="str">
        <f>T("   871640")</f>
        <v xml:space="preserve">   871640</v>
      </c>
      <c r="B8545"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545">
        <v>7210472</v>
      </c>
      <c r="D8545">
        <v>26660</v>
      </c>
    </row>
    <row r="8546" spans="1:4" x14ac:dyDescent="0.25">
      <c r="A8546" t="str">
        <f>T("PN")</f>
        <v>PN</v>
      </c>
      <c r="B8546" t="str">
        <f>T("Pitcairn")</f>
        <v>Pitcairn</v>
      </c>
    </row>
    <row r="8547" spans="1:4" x14ac:dyDescent="0.25">
      <c r="A8547" t="str">
        <f>T("   ZZ_Total_Produit_SH6")</f>
        <v xml:space="preserve">   ZZ_Total_Produit_SH6</v>
      </c>
      <c r="B8547" t="str">
        <f>T("   ZZ_Total_Produit_SH6")</f>
        <v xml:space="preserve">   ZZ_Total_Produit_SH6</v>
      </c>
      <c r="C8547">
        <v>5635000</v>
      </c>
      <c r="D8547">
        <v>877</v>
      </c>
    </row>
    <row r="8548" spans="1:4" x14ac:dyDescent="0.25">
      <c r="A8548" t="str">
        <f>T("   847190")</f>
        <v xml:space="preserve">   847190</v>
      </c>
      <c r="B8548"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548">
        <v>5635000</v>
      </c>
      <c r="D8548">
        <v>877</v>
      </c>
    </row>
    <row r="8549" spans="1:4" x14ac:dyDescent="0.25">
      <c r="A8549" t="str">
        <f>T("PT")</f>
        <v>PT</v>
      </c>
      <c r="B8549" t="str">
        <f>T("Portugal")</f>
        <v>Portugal</v>
      </c>
    </row>
    <row r="8550" spans="1:4" x14ac:dyDescent="0.25">
      <c r="A8550" t="str">
        <f>T("   ZZ_Total_Produit_SH6")</f>
        <v xml:space="preserve">   ZZ_Total_Produit_SH6</v>
      </c>
      <c r="B8550" t="str">
        <f>T("   ZZ_Total_Produit_SH6")</f>
        <v xml:space="preserve">   ZZ_Total_Produit_SH6</v>
      </c>
      <c r="C8550">
        <v>7605523657</v>
      </c>
      <c r="D8550">
        <v>213502413</v>
      </c>
    </row>
    <row r="8551" spans="1:4" x14ac:dyDescent="0.25">
      <c r="A8551" t="str">
        <f>T("   020712")</f>
        <v xml:space="preserve">   020712</v>
      </c>
      <c r="B8551" t="str">
        <f>T("   COQS ET POULES [DES ESPÈCES DOMESTIQUES], NON-DÉCOUPÉS EN MORCEAUX, CONGELÉS")</f>
        <v xml:space="preserve">   COQS ET POULES [DES ESPÈCES DOMESTIQUES], NON-DÉCOUPÉS EN MORCEAUX, CONGELÉS</v>
      </c>
      <c r="C8551">
        <v>30000002</v>
      </c>
      <c r="D8551">
        <v>46300</v>
      </c>
    </row>
    <row r="8552" spans="1:4" x14ac:dyDescent="0.25">
      <c r="A8552" t="str">
        <f>T("   020714")</f>
        <v xml:space="preserve">   020714</v>
      </c>
      <c r="B8552" t="str">
        <f>T("   Morceaux et abats comestibles de coqs et de poules [des espèces domestiques], congelés")</f>
        <v xml:space="preserve">   Morceaux et abats comestibles de coqs et de poules [des espèces domestiques], congelés</v>
      </c>
      <c r="C8552">
        <v>15005085</v>
      </c>
      <c r="D8552">
        <v>27130</v>
      </c>
    </row>
    <row r="8553" spans="1:4" x14ac:dyDescent="0.25">
      <c r="A8553" t="str">
        <f>T("   160413")</f>
        <v xml:space="preserve">   160413</v>
      </c>
      <c r="B8553"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8553">
        <v>5179670</v>
      </c>
      <c r="D8553">
        <v>8116</v>
      </c>
    </row>
    <row r="8554" spans="1:4" x14ac:dyDescent="0.25">
      <c r="A8554" t="str">
        <f>T("   220421")</f>
        <v xml:space="preserve">   220421</v>
      </c>
      <c r="B8554"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8554">
        <v>7484504</v>
      </c>
      <c r="D8554">
        <v>14150</v>
      </c>
    </row>
    <row r="8555" spans="1:4" x14ac:dyDescent="0.25">
      <c r="A8555" t="str">
        <f>T("   220429")</f>
        <v xml:space="preserve">   220429</v>
      </c>
      <c r="B8555"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8555">
        <v>16812862</v>
      </c>
      <c r="D8555">
        <v>36153</v>
      </c>
    </row>
    <row r="8556" spans="1:4" x14ac:dyDescent="0.25">
      <c r="A8556" t="str">
        <f>T("   252310")</f>
        <v xml:space="preserve">   252310</v>
      </c>
      <c r="B8556" t="str">
        <f>T("   Ciments non pulvérisés dits 'clinkers'")</f>
        <v xml:space="preserve">   Ciments non pulvérisés dits 'clinkers'</v>
      </c>
      <c r="C8556">
        <v>5419504580</v>
      </c>
      <c r="D8556">
        <v>174891032</v>
      </c>
    </row>
    <row r="8557" spans="1:4" x14ac:dyDescent="0.25">
      <c r="A8557" t="str">
        <f>T("   252329")</f>
        <v xml:space="preserve">   252329</v>
      </c>
      <c r="B8557" t="str">
        <f>T("   Ciment Portland normal ou modéré (à l'excl. des ciments Portland blancs, même colorés artificiellement)")</f>
        <v xml:space="preserve">   Ciment Portland normal ou modéré (à l'excl. des ciments Portland blancs, même colorés artificiellement)</v>
      </c>
      <c r="C8557">
        <v>1407971136</v>
      </c>
      <c r="D8557">
        <v>36880000</v>
      </c>
    </row>
    <row r="8558" spans="1:4" x14ac:dyDescent="0.25">
      <c r="A8558" t="str">
        <f>T("   300490")</f>
        <v xml:space="preserve">   300490</v>
      </c>
      <c r="B8558" t="s">
        <v>79</v>
      </c>
      <c r="C8558">
        <v>197647</v>
      </c>
      <c r="D8558">
        <v>317</v>
      </c>
    </row>
    <row r="8559" spans="1:4" x14ac:dyDescent="0.25">
      <c r="A8559" t="str">
        <f>T("   390319")</f>
        <v xml:space="preserve">   390319</v>
      </c>
      <c r="B8559" t="str">
        <f>T("   Polystyrène sous formes primaires (à l'excl. du polystyrène expansible)")</f>
        <v xml:space="preserve">   Polystyrène sous formes primaires (à l'excl. du polystyrène expansible)</v>
      </c>
      <c r="C8559">
        <v>22204246</v>
      </c>
      <c r="D8559">
        <v>20000</v>
      </c>
    </row>
    <row r="8560" spans="1:4" x14ac:dyDescent="0.25">
      <c r="A8560" t="str">
        <f>T("   392220")</f>
        <v xml:space="preserve">   392220</v>
      </c>
      <c r="B8560" t="str">
        <f>T("   Sièges et couvercles de cuvettes d'aisance, en matières plastiques")</f>
        <v xml:space="preserve">   Sièges et couvercles de cuvettes d'aisance, en matières plastiques</v>
      </c>
      <c r="C8560">
        <v>595612</v>
      </c>
      <c r="D8560">
        <v>1953</v>
      </c>
    </row>
    <row r="8561" spans="1:4" x14ac:dyDescent="0.25">
      <c r="A8561" t="str">
        <f>T("   392490")</f>
        <v xml:space="preserve">   392490</v>
      </c>
      <c r="B8561" t="s">
        <v>143</v>
      </c>
      <c r="C8561">
        <v>661207</v>
      </c>
      <c r="D8561">
        <v>2600</v>
      </c>
    </row>
    <row r="8562" spans="1:4" x14ac:dyDescent="0.25">
      <c r="A8562" t="str">
        <f>T("   401699")</f>
        <v xml:space="preserve">   401699</v>
      </c>
      <c r="B8562" t="str">
        <f>T("   OUVRAGES EN CAOUTCHOUC VULCANISÉ NON-DURCI, N.D.A.")</f>
        <v xml:space="preserve">   OUVRAGES EN CAOUTCHOUC VULCANISÉ NON-DURCI, N.D.A.</v>
      </c>
      <c r="C8562">
        <v>1919339</v>
      </c>
      <c r="D8562">
        <v>158</v>
      </c>
    </row>
    <row r="8563" spans="1:4" x14ac:dyDescent="0.25">
      <c r="A8563" t="str">
        <f>T("   441111")</f>
        <v xml:space="preserve">   441111</v>
      </c>
      <c r="B8563" t="s">
        <v>171</v>
      </c>
      <c r="C8563">
        <v>16900101</v>
      </c>
      <c r="D8563">
        <v>80280</v>
      </c>
    </row>
    <row r="8564" spans="1:4" x14ac:dyDescent="0.25">
      <c r="A8564" t="str">
        <f>T("   480257")</f>
        <v xml:space="preserve">   480257</v>
      </c>
      <c r="B8564" t="s">
        <v>189</v>
      </c>
      <c r="C8564">
        <v>12786412</v>
      </c>
      <c r="D8564">
        <v>24151</v>
      </c>
    </row>
    <row r="8565" spans="1:4" x14ac:dyDescent="0.25">
      <c r="A8565" t="str">
        <f>T("   481920")</f>
        <v xml:space="preserve">   481920</v>
      </c>
      <c r="B8565" t="str">
        <f>T("   Boîtes et cartonnages, pliants, en papier ou en carton non ondulé")</f>
        <v xml:space="preserve">   Boîtes et cartonnages, pliants, en papier ou en carton non ondulé</v>
      </c>
      <c r="C8565">
        <v>64284</v>
      </c>
      <c r="D8565">
        <v>530</v>
      </c>
    </row>
    <row r="8566" spans="1:4" x14ac:dyDescent="0.25">
      <c r="A8566" t="str">
        <f>T("   481930")</f>
        <v xml:space="preserve">   481930</v>
      </c>
      <c r="B8566" t="str">
        <f>T("   Sacs, en papier, carton, ouate de cellulose ou nappes de fibres de cellulose, d'une largeur à la base &gt;= 40 cm")</f>
        <v xml:space="preserve">   Sacs, en papier, carton, ouate de cellulose ou nappes de fibres de cellulose, d'une largeur à la base &gt;= 40 cm</v>
      </c>
      <c r="C8566">
        <v>393943</v>
      </c>
      <c r="D8566">
        <v>2600</v>
      </c>
    </row>
    <row r="8567" spans="1:4" x14ac:dyDescent="0.25">
      <c r="A8567" t="str">
        <f>T("   491110")</f>
        <v xml:space="preserve">   491110</v>
      </c>
      <c r="B8567" t="str">
        <f>T("   Imprimés publicitaires, catalogues commerciaux et simil.")</f>
        <v xml:space="preserve">   Imprimés publicitaires, catalogues commerciaux et simil.</v>
      </c>
      <c r="C8567">
        <v>572417</v>
      </c>
      <c r="D8567">
        <v>695</v>
      </c>
    </row>
    <row r="8568" spans="1:4" x14ac:dyDescent="0.25">
      <c r="A8568" t="str">
        <f>T("   681120")</f>
        <v xml:space="preserve">   681120</v>
      </c>
      <c r="B8568" t="str">
        <f>T("   Plaques, panneaux, carreaux, tuiles et articles simil., en amiante-ciment, cellulose-ciment ou simil. (sauf plaques ondulées)")</f>
        <v xml:space="preserve">   Plaques, panneaux, carreaux, tuiles et articles simil., en amiante-ciment, cellulose-ciment ou simil. (sauf plaques ondulées)</v>
      </c>
      <c r="C8568">
        <v>17071359</v>
      </c>
      <c r="D8568">
        <v>166519</v>
      </c>
    </row>
    <row r="8569" spans="1:4" x14ac:dyDescent="0.25">
      <c r="A8569" t="str">
        <f>T("   681190")</f>
        <v xml:space="preserve">   681190</v>
      </c>
      <c r="B8569" t="str">
        <f>T("   Ouvrages en amiante-ciment, cellulose-ciment ou simil. (sauf tuyaux, gaines et accessoires de tuyauterie et sauf plaques, y.c. les plaques ondulées, panneaux, carreaux, tuiles et articles simil.)")</f>
        <v xml:space="preserve">   Ouvrages en amiante-ciment, cellulose-ciment ou simil. (sauf tuyaux, gaines et accessoires de tuyauterie et sauf plaques, y.c. les plaques ondulées, panneaux, carreaux, tuiles et articles simil.)</v>
      </c>
      <c r="C8569">
        <v>3756683</v>
      </c>
      <c r="D8569">
        <v>27341</v>
      </c>
    </row>
    <row r="8570" spans="1:4" x14ac:dyDescent="0.25">
      <c r="A8570" t="str">
        <f>T("   690510")</f>
        <v xml:space="preserve">   690510</v>
      </c>
      <c r="B8570" t="str">
        <f>T("   Tuiles")</f>
        <v xml:space="preserve">   Tuiles</v>
      </c>
      <c r="C8570">
        <v>7599691</v>
      </c>
      <c r="D8570">
        <v>78084</v>
      </c>
    </row>
    <row r="8571" spans="1:4" x14ac:dyDescent="0.25">
      <c r="A8571" t="str">
        <f>T("   690790")</f>
        <v xml:space="preserve">   690790</v>
      </c>
      <c r="B8571" t="s">
        <v>306</v>
      </c>
      <c r="C8571">
        <v>55494433</v>
      </c>
      <c r="D8571">
        <v>548458</v>
      </c>
    </row>
    <row r="8572" spans="1:4" x14ac:dyDescent="0.25">
      <c r="A8572" t="str">
        <f>T("   690890")</f>
        <v xml:space="preserve">   690890</v>
      </c>
      <c r="B8572" t="s">
        <v>307</v>
      </c>
      <c r="C8572">
        <v>29721297</v>
      </c>
      <c r="D8572">
        <v>276119</v>
      </c>
    </row>
    <row r="8573" spans="1:4" x14ac:dyDescent="0.25">
      <c r="A8573" t="str">
        <f>T("   691090")</f>
        <v xml:space="preserve">   691090</v>
      </c>
      <c r="B8573" t="s">
        <v>310</v>
      </c>
      <c r="C8573">
        <v>18266126</v>
      </c>
      <c r="D8573">
        <v>30675</v>
      </c>
    </row>
    <row r="8574" spans="1:4" x14ac:dyDescent="0.25">
      <c r="A8574" t="str">
        <f>T("   732410")</f>
        <v xml:space="preserve">   732410</v>
      </c>
      <c r="B8574" t="str">
        <f>T("   ÉVIERS ET LAVABOS EN ACIER INOXYDABLE")</f>
        <v xml:space="preserve">   ÉVIERS ET LAVABOS EN ACIER INOXYDABLE</v>
      </c>
      <c r="C8574">
        <v>834919</v>
      </c>
      <c r="D8574">
        <v>97</v>
      </c>
    </row>
    <row r="8575" spans="1:4" x14ac:dyDescent="0.25">
      <c r="A8575" t="str">
        <f>T("   843139")</f>
        <v xml:space="preserve">   843139</v>
      </c>
      <c r="B8575" t="str">
        <f>T("   Parties de machines et appareils du n° 8428, n.d.a.")</f>
        <v xml:space="preserve">   Parties de machines et appareils du n° 8428, n.d.a.</v>
      </c>
      <c r="C8575">
        <v>617914</v>
      </c>
      <c r="D8575">
        <v>19</v>
      </c>
    </row>
    <row r="8576" spans="1:4" x14ac:dyDescent="0.25">
      <c r="A8576" t="str">
        <f>T("   853669")</f>
        <v xml:space="preserve">   853669</v>
      </c>
      <c r="B8576" t="str">
        <f>T("   Fiches et prises de courant, pour une tension &lt;= 1.000 V (sauf douilles pour lampes)")</f>
        <v xml:space="preserve">   Fiches et prises de courant, pour une tension &lt;= 1.000 V (sauf douilles pour lampes)</v>
      </c>
      <c r="C8576">
        <v>5481858</v>
      </c>
      <c r="D8576">
        <v>12786</v>
      </c>
    </row>
    <row r="8577" spans="1:4" x14ac:dyDescent="0.25">
      <c r="A8577" t="str">
        <f>T("   854790")</f>
        <v xml:space="preserve">   854790</v>
      </c>
      <c r="B8577"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8577">
        <v>4958402</v>
      </c>
      <c r="D8577">
        <v>13292</v>
      </c>
    </row>
    <row r="8578" spans="1:4" x14ac:dyDescent="0.25">
      <c r="A8578" t="str">
        <f>T("   870120")</f>
        <v xml:space="preserve">   870120</v>
      </c>
      <c r="B8578" t="str">
        <f>T("   Tracteurs routiers pour semi-remorques")</f>
        <v xml:space="preserve">   Tracteurs routiers pour semi-remorques</v>
      </c>
      <c r="C8578">
        <v>6025762</v>
      </c>
      <c r="D8578">
        <v>19540</v>
      </c>
    </row>
    <row r="8579" spans="1:4" x14ac:dyDescent="0.25">
      <c r="A8579" t="str">
        <f>T("   870290")</f>
        <v xml:space="preserve">   870290</v>
      </c>
      <c r="B8579" t="s">
        <v>470</v>
      </c>
      <c r="C8579">
        <v>1200000</v>
      </c>
      <c r="D8579">
        <v>1200</v>
      </c>
    </row>
    <row r="8580" spans="1:4" x14ac:dyDescent="0.25">
      <c r="A8580" t="str">
        <f>T("   870322")</f>
        <v xml:space="preserve">   870322</v>
      </c>
      <c r="B8580" t="s">
        <v>472</v>
      </c>
      <c r="C8580">
        <v>6000000</v>
      </c>
      <c r="D8580">
        <v>5110</v>
      </c>
    </row>
    <row r="8581" spans="1:4" x14ac:dyDescent="0.25">
      <c r="A8581" t="str">
        <f>T("   870421")</f>
        <v xml:space="preserve">   870421</v>
      </c>
      <c r="B8581" t="s">
        <v>478</v>
      </c>
      <c r="C8581">
        <v>6000000</v>
      </c>
      <c r="D8581">
        <v>5550</v>
      </c>
    </row>
    <row r="8582" spans="1:4" x14ac:dyDescent="0.25">
      <c r="A8582" t="str">
        <f>T("   870422")</f>
        <v xml:space="preserve">   870422</v>
      </c>
      <c r="B8582" t="s">
        <v>479</v>
      </c>
      <c r="C8582">
        <v>4000000</v>
      </c>
      <c r="D8582">
        <v>23200</v>
      </c>
    </row>
    <row r="8583" spans="1:4" x14ac:dyDescent="0.25">
      <c r="A8583" t="str">
        <f>T("   870431")</f>
        <v xml:space="preserve">   870431</v>
      </c>
      <c r="B8583" t="s">
        <v>481</v>
      </c>
      <c r="C8583">
        <v>2400000</v>
      </c>
      <c r="D8583">
        <v>3150</v>
      </c>
    </row>
    <row r="8584" spans="1:4" x14ac:dyDescent="0.25">
      <c r="A8584" t="str">
        <f>T("   870899")</f>
        <v xml:space="preserve">   870899</v>
      </c>
      <c r="B858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584">
        <v>2493448</v>
      </c>
      <c r="D8584">
        <v>220</v>
      </c>
    </row>
    <row r="8585" spans="1:4" x14ac:dyDescent="0.25">
      <c r="A8585" t="str">
        <f>T("   871640")</f>
        <v xml:space="preserve">   871640</v>
      </c>
      <c r="B8585"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585">
        <v>11620420</v>
      </c>
      <c r="D8585">
        <v>34388</v>
      </c>
    </row>
    <row r="8586" spans="1:4" x14ac:dyDescent="0.25">
      <c r="A8586" t="str">
        <f>T("   871690")</f>
        <v xml:space="preserve">   871690</v>
      </c>
      <c r="B8586" t="str">
        <f>T("   PARTIES DE REMORQUES, SEMI-REMORQUES ET AUTRES VÉHICULES NON-AUTOMOBILES, N.D.A.")</f>
        <v xml:space="preserve">   PARTIES DE REMORQUES, SEMI-REMORQUES ET AUTRES VÉHICULES NON-AUTOMOBILES, N.D.A.</v>
      </c>
      <c r="C8586">
        <v>463728298</v>
      </c>
      <c r="D8586">
        <v>220500</v>
      </c>
    </row>
    <row r="8587" spans="1:4" x14ac:dyDescent="0.25">
      <c r="A8587" t="str">
        <f>T("QA")</f>
        <v>QA</v>
      </c>
      <c r="B8587" t="str">
        <f>T("Qatar")</f>
        <v>Qatar</v>
      </c>
    </row>
    <row r="8588" spans="1:4" x14ac:dyDescent="0.25">
      <c r="A8588" t="str">
        <f>T("   ZZ_Total_Produit_SH6")</f>
        <v xml:space="preserve">   ZZ_Total_Produit_SH6</v>
      </c>
      <c r="B8588" t="str">
        <f>T("   ZZ_Total_Produit_SH6")</f>
        <v xml:space="preserve">   ZZ_Total_Produit_SH6</v>
      </c>
      <c r="C8588">
        <v>1200000</v>
      </c>
      <c r="D8588">
        <v>1290</v>
      </c>
    </row>
    <row r="8589" spans="1:4" x14ac:dyDescent="0.25">
      <c r="A8589" t="str">
        <f>T("   870323")</f>
        <v xml:space="preserve">   870323</v>
      </c>
      <c r="B8589" t="s">
        <v>473</v>
      </c>
      <c r="C8589">
        <v>1200000</v>
      </c>
      <c r="D8589">
        <v>1290</v>
      </c>
    </row>
    <row r="8590" spans="1:4" x14ac:dyDescent="0.25">
      <c r="A8590" t="str">
        <f>T("RO")</f>
        <v>RO</v>
      </c>
      <c r="B8590" t="str">
        <f>T("Roumanie")</f>
        <v>Roumanie</v>
      </c>
    </row>
    <row r="8591" spans="1:4" x14ac:dyDescent="0.25">
      <c r="A8591" t="str">
        <f>T("   ZZ_Total_Produit_SH6")</f>
        <v xml:space="preserve">   ZZ_Total_Produit_SH6</v>
      </c>
      <c r="B8591" t="str">
        <f>T("   ZZ_Total_Produit_SH6")</f>
        <v xml:space="preserve">   ZZ_Total_Produit_SH6</v>
      </c>
      <c r="C8591">
        <v>43002114</v>
      </c>
      <c r="D8591">
        <v>125000</v>
      </c>
    </row>
    <row r="8592" spans="1:4" x14ac:dyDescent="0.25">
      <c r="A8592" t="str">
        <f>T("   020712")</f>
        <v xml:space="preserve">   020712</v>
      </c>
      <c r="B8592" t="str">
        <f>T("   COQS ET POULES [DES ESPÈCES DOMESTIQUES], NON-DÉCOUPÉS EN MORCEAUX, CONGELÉS")</f>
        <v xml:space="preserve">   COQS ET POULES [DES ESPÈCES DOMESTIQUES], NON-DÉCOUPÉS EN MORCEAUX, CONGELÉS</v>
      </c>
      <c r="C8592">
        <v>15000493</v>
      </c>
      <c r="D8592">
        <v>25000</v>
      </c>
    </row>
    <row r="8593" spans="1:4" x14ac:dyDescent="0.25">
      <c r="A8593" t="str">
        <f>T("   080810")</f>
        <v xml:space="preserve">   080810</v>
      </c>
      <c r="B8593" t="str">
        <f>T("   Pommes, fraîches")</f>
        <v xml:space="preserve">   Pommes, fraîches</v>
      </c>
      <c r="C8593">
        <v>28001621</v>
      </c>
      <c r="D8593">
        <v>100000</v>
      </c>
    </row>
    <row r="8594" spans="1:4" x14ac:dyDescent="0.25">
      <c r="A8594" t="str">
        <f>T("RU")</f>
        <v>RU</v>
      </c>
      <c r="B8594" t="str">
        <f>T("Russie, Fédération de")</f>
        <v>Russie, Fédération de</v>
      </c>
    </row>
    <row r="8595" spans="1:4" x14ac:dyDescent="0.25">
      <c r="A8595" t="str">
        <f>T("   ZZ_Total_Produit_SH6")</f>
        <v xml:space="preserve">   ZZ_Total_Produit_SH6</v>
      </c>
      <c r="B8595" t="str">
        <f>T("   ZZ_Total_Produit_SH6")</f>
        <v xml:space="preserve">   ZZ_Total_Produit_SH6</v>
      </c>
      <c r="C8595">
        <v>2010093535</v>
      </c>
      <c r="D8595">
        <v>6023060</v>
      </c>
    </row>
    <row r="8596" spans="1:4" x14ac:dyDescent="0.25">
      <c r="A8596" t="str">
        <f>T("   271011")</f>
        <v xml:space="preserve">   271011</v>
      </c>
      <c r="B8596"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8596">
        <v>32340479</v>
      </c>
      <c r="D8596">
        <v>294529</v>
      </c>
    </row>
    <row r="8597" spans="1:4" x14ac:dyDescent="0.25">
      <c r="A8597" t="str">
        <f>T("   271019")</f>
        <v xml:space="preserve">   271019</v>
      </c>
      <c r="B8597" t="str">
        <f>T("   Huiles moyennes et préparations, de pétrole ou de minéraux bitumineux, n.d.a.")</f>
        <v xml:space="preserve">   Huiles moyennes et préparations, de pétrole ou de minéraux bitumineux, n.d.a.</v>
      </c>
      <c r="C8597">
        <v>1972580203</v>
      </c>
      <c r="D8597">
        <v>5727228</v>
      </c>
    </row>
    <row r="8598" spans="1:4" x14ac:dyDescent="0.25">
      <c r="A8598" t="str">
        <f>T("   851780")</f>
        <v xml:space="preserve">   851780</v>
      </c>
      <c r="B8598" t="s">
        <v>453</v>
      </c>
      <c r="C8598">
        <v>3588893</v>
      </c>
      <c r="D8598">
        <v>46</v>
      </c>
    </row>
    <row r="8599" spans="1:4" x14ac:dyDescent="0.25">
      <c r="A8599" t="str">
        <f>T("   851790")</f>
        <v xml:space="preserve">   851790</v>
      </c>
      <c r="B8599" t="s">
        <v>454</v>
      </c>
      <c r="C8599">
        <v>365265</v>
      </c>
      <c r="D8599">
        <v>4</v>
      </c>
    </row>
    <row r="8600" spans="1:4" x14ac:dyDescent="0.25">
      <c r="A8600" t="str">
        <f>T("   854420")</f>
        <v xml:space="preserve">   854420</v>
      </c>
      <c r="B8600" t="str">
        <f>T("   Câbles coaxiaux et autres conducteurs électriques coaxiaux, isolés")</f>
        <v xml:space="preserve">   Câbles coaxiaux et autres conducteurs électriques coaxiaux, isolés</v>
      </c>
      <c r="C8600">
        <v>18695</v>
      </c>
      <c r="D8600">
        <v>2</v>
      </c>
    </row>
    <row r="8601" spans="1:4" x14ac:dyDescent="0.25">
      <c r="A8601" t="str">
        <f>T("   870322")</f>
        <v xml:space="preserve">   870322</v>
      </c>
      <c r="B8601" t="s">
        <v>472</v>
      </c>
      <c r="C8601">
        <v>1200000</v>
      </c>
      <c r="D8601">
        <v>1251</v>
      </c>
    </row>
    <row r="8602" spans="1:4" x14ac:dyDescent="0.25">
      <c r="A8602" t="str">
        <f>T("RW")</f>
        <v>RW</v>
      </c>
      <c r="B8602" t="str">
        <f>T("Rwanda")</f>
        <v>Rwanda</v>
      </c>
    </row>
    <row r="8603" spans="1:4" x14ac:dyDescent="0.25">
      <c r="A8603" t="str">
        <f>T("   ZZ_Total_Produit_SH6")</f>
        <v xml:space="preserve">   ZZ_Total_Produit_SH6</v>
      </c>
      <c r="B8603" t="str">
        <f>T("   ZZ_Total_Produit_SH6")</f>
        <v xml:space="preserve">   ZZ_Total_Produit_SH6</v>
      </c>
      <c r="C8603">
        <v>5429214</v>
      </c>
      <c r="D8603">
        <v>7614</v>
      </c>
    </row>
    <row r="8604" spans="1:4" x14ac:dyDescent="0.25">
      <c r="A8604" t="str">
        <f>T("   621020")</f>
        <v xml:space="preserve">   621020</v>
      </c>
      <c r="B8604"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8604">
        <v>1548113</v>
      </c>
      <c r="D8604">
        <v>558</v>
      </c>
    </row>
    <row r="8605" spans="1:4" x14ac:dyDescent="0.25">
      <c r="A8605" t="str">
        <f>T("   621040")</f>
        <v xml:space="preserve">   621040</v>
      </c>
      <c r="B8605" t="s">
        <v>265</v>
      </c>
      <c r="C8605">
        <v>2561660</v>
      </c>
      <c r="D8605">
        <v>3101</v>
      </c>
    </row>
    <row r="8606" spans="1:4" x14ac:dyDescent="0.25">
      <c r="A8606" t="str">
        <f>T("   732393")</f>
        <v xml:space="preserve">   732393</v>
      </c>
      <c r="B8606" t="s">
        <v>361</v>
      </c>
      <c r="C8606">
        <v>124632</v>
      </c>
      <c r="D8606">
        <v>607</v>
      </c>
    </row>
    <row r="8607" spans="1:4" x14ac:dyDescent="0.25">
      <c r="A8607" t="str">
        <f>T("   841810")</f>
        <v xml:space="preserve">   841810</v>
      </c>
      <c r="B8607" t="str">
        <f>T("   Réfrigérateurs et congélateurs-conservateurs combinés, avec portes extérieures séparées")</f>
        <v xml:space="preserve">   Réfrigérateurs et congélateurs-conservateurs combinés, avec portes extérieures séparées</v>
      </c>
      <c r="C8607">
        <v>55757</v>
      </c>
      <c r="D8607">
        <v>272</v>
      </c>
    </row>
    <row r="8608" spans="1:4" x14ac:dyDescent="0.25">
      <c r="A8608" t="str">
        <f>T("   850211")</f>
        <v xml:space="preserve">   850211</v>
      </c>
      <c r="B8608" t="s">
        <v>444</v>
      </c>
      <c r="C8608">
        <v>327980</v>
      </c>
      <c r="D8608">
        <v>1598</v>
      </c>
    </row>
    <row r="8609" spans="1:4" x14ac:dyDescent="0.25">
      <c r="A8609" t="str">
        <f>T("   851939")</f>
        <v xml:space="preserve">   851939</v>
      </c>
      <c r="B8609" t="str">
        <f>T("   Tourne-disques sans amplificateur et sans changeur automatique de disques")</f>
        <v xml:space="preserve">   Tourne-disques sans amplificateur et sans changeur automatique de disques</v>
      </c>
      <c r="C8609">
        <v>285000</v>
      </c>
      <c r="D8609">
        <v>107</v>
      </c>
    </row>
    <row r="8610" spans="1:4" x14ac:dyDescent="0.25">
      <c r="A8610" t="str">
        <f>T("   852439")</f>
        <v xml:space="preserve">   852439</v>
      </c>
      <c r="B8610"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8610">
        <v>265000</v>
      </c>
      <c r="D8610">
        <v>99</v>
      </c>
    </row>
    <row r="8611" spans="1:4" x14ac:dyDescent="0.25">
      <c r="A8611" t="str">
        <f>T("   940380")</f>
        <v xml:space="preserve">   940380</v>
      </c>
      <c r="B8611" t="str">
        <f>T("   Meubles en rotin, osier, bambou ou autres matières (sauf métal, bois et matières plastiques)")</f>
        <v xml:space="preserve">   Meubles en rotin, osier, bambou ou autres matières (sauf métal, bois et matières plastiques)</v>
      </c>
      <c r="C8611">
        <v>261072</v>
      </c>
      <c r="D8611">
        <v>1272</v>
      </c>
    </row>
    <row r="8612" spans="1:4" x14ac:dyDescent="0.25">
      <c r="A8612" t="str">
        <f>T("SA")</f>
        <v>SA</v>
      </c>
      <c r="B8612" t="str">
        <f>T("Arabie Saoudite")</f>
        <v>Arabie Saoudite</v>
      </c>
    </row>
    <row r="8613" spans="1:4" x14ac:dyDescent="0.25">
      <c r="A8613" t="str">
        <f>T("   ZZ_Total_Produit_SH6")</f>
        <v xml:space="preserve">   ZZ_Total_Produit_SH6</v>
      </c>
      <c r="B8613" t="str">
        <f>T("   ZZ_Total_Produit_SH6")</f>
        <v xml:space="preserve">   ZZ_Total_Produit_SH6</v>
      </c>
      <c r="C8613">
        <v>1842508251</v>
      </c>
      <c r="D8613">
        <v>4691845</v>
      </c>
    </row>
    <row r="8614" spans="1:4" x14ac:dyDescent="0.25">
      <c r="A8614" t="str">
        <f>T("   210390")</f>
        <v xml:space="preserve">   210390</v>
      </c>
      <c r="B8614"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8614">
        <v>4308878</v>
      </c>
      <c r="D8614">
        <v>13946</v>
      </c>
    </row>
    <row r="8615" spans="1:4" x14ac:dyDescent="0.25">
      <c r="A8615" t="str">
        <f>T("   220290")</f>
        <v xml:space="preserve">   220290</v>
      </c>
      <c r="B8615" t="str">
        <f>T("   BOISSONS NON-ALCOOLIQUES (À L'EXCL. DES EAUX, DES JUS DE FRUITS OU DE LÉGUMES AINSI QUE DU LAIT)")</f>
        <v xml:space="preserve">   BOISSONS NON-ALCOOLIQUES (À L'EXCL. DES EAUX, DES JUS DE FRUITS OU DE LÉGUMES AINSI QUE DU LAIT)</v>
      </c>
      <c r="C8615">
        <v>5903640</v>
      </c>
      <c r="D8615">
        <v>34000</v>
      </c>
    </row>
    <row r="8616" spans="1:4" x14ac:dyDescent="0.25">
      <c r="A8616" t="str">
        <f>T("   271011")</f>
        <v xml:space="preserve">   271011</v>
      </c>
      <c r="B8616"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8616">
        <v>8052566</v>
      </c>
      <c r="D8616">
        <v>24929</v>
      </c>
    </row>
    <row r="8617" spans="1:4" x14ac:dyDescent="0.25">
      <c r="A8617" t="str">
        <f>T("   271019")</f>
        <v xml:space="preserve">   271019</v>
      </c>
      <c r="B8617" t="str">
        <f>T("   Huiles moyennes et préparations, de pétrole ou de minéraux bitumineux, n.d.a.")</f>
        <v xml:space="preserve">   Huiles moyennes et préparations, de pétrole ou de minéraux bitumineux, n.d.a.</v>
      </c>
      <c r="C8617">
        <v>833785866</v>
      </c>
      <c r="D8617">
        <v>2250418</v>
      </c>
    </row>
    <row r="8618" spans="1:4" x14ac:dyDescent="0.25">
      <c r="A8618" t="str">
        <f>T("   490199")</f>
        <v xml:space="preserve">   490199</v>
      </c>
      <c r="B861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618">
        <v>5583948</v>
      </c>
      <c r="D8618">
        <v>21000</v>
      </c>
    </row>
    <row r="8619" spans="1:4" x14ac:dyDescent="0.25">
      <c r="A8619" t="str">
        <f>T("   620590")</f>
        <v xml:space="preserve">   620590</v>
      </c>
      <c r="B861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619">
        <v>2686757</v>
      </c>
      <c r="D8619">
        <v>2824</v>
      </c>
    </row>
    <row r="8620" spans="1:4" x14ac:dyDescent="0.25">
      <c r="A8620" t="str">
        <f>T("   630590")</f>
        <v xml:space="preserve">   630590</v>
      </c>
      <c r="B8620"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8620">
        <v>31552184</v>
      </c>
      <c r="D8620">
        <v>1158</v>
      </c>
    </row>
    <row r="8621" spans="1:4" x14ac:dyDescent="0.25">
      <c r="A8621" t="str">
        <f>T("   630900")</f>
        <v xml:space="preserve">   630900</v>
      </c>
      <c r="B8621" t="s">
        <v>273</v>
      </c>
      <c r="C8621">
        <v>5649783</v>
      </c>
      <c r="D8621">
        <v>16500</v>
      </c>
    </row>
    <row r="8622" spans="1:4" x14ac:dyDescent="0.25">
      <c r="A8622" t="str">
        <f>T("   700529")</f>
        <v xml:space="preserve">   700529</v>
      </c>
      <c r="B8622" t="s">
        <v>315</v>
      </c>
      <c r="C8622">
        <v>10033754</v>
      </c>
      <c r="D8622">
        <v>99759</v>
      </c>
    </row>
    <row r="8623" spans="1:4" x14ac:dyDescent="0.25">
      <c r="A8623" t="str">
        <f>T("   721391")</f>
        <v xml:space="preserve">   721391</v>
      </c>
      <c r="B8623"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8623">
        <v>795235513</v>
      </c>
      <c r="D8623">
        <v>2151400</v>
      </c>
    </row>
    <row r="8624" spans="1:4" x14ac:dyDescent="0.25">
      <c r="A8624" t="str">
        <f>T("   730719")</f>
        <v xml:space="preserve">   730719</v>
      </c>
      <c r="B8624" t="str">
        <f>T("   Accessoires de tuyauterie moulés en fonte, fer ou acier (sauf fonte non-malléable)")</f>
        <v xml:space="preserve">   Accessoires de tuyauterie moulés en fonte, fer ou acier (sauf fonte non-malléable)</v>
      </c>
      <c r="C8624">
        <v>128568</v>
      </c>
      <c r="D8624">
        <v>2</v>
      </c>
    </row>
    <row r="8625" spans="1:4" x14ac:dyDescent="0.25">
      <c r="A8625" t="str">
        <f>T("   730890")</f>
        <v xml:space="preserve">   730890</v>
      </c>
      <c r="B8625" t="s">
        <v>349</v>
      </c>
      <c r="C8625">
        <v>5343521</v>
      </c>
      <c r="D8625">
        <v>1069</v>
      </c>
    </row>
    <row r="8626" spans="1:4" x14ac:dyDescent="0.25">
      <c r="A8626" t="str">
        <f>T("   732394")</f>
        <v xml:space="preserve">   732394</v>
      </c>
      <c r="B8626" t="s">
        <v>362</v>
      </c>
      <c r="C8626">
        <v>3767212</v>
      </c>
      <c r="D8626">
        <v>3986</v>
      </c>
    </row>
    <row r="8627" spans="1:4" x14ac:dyDescent="0.25">
      <c r="A8627" t="str">
        <f>T("   830590")</f>
        <v xml:space="preserve">   830590</v>
      </c>
      <c r="B8627" t="s">
        <v>382</v>
      </c>
      <c r="C8627">
        <v>2090293</v>
      </c>
      <c r="D8627">
        <v>176</v>
      </c>
    </row>
    <row r="8628" spans="1:4" x14ac:dyDescent="0.25">
      <c r="A8628" t="str">
        <f>T("   841290")</f>
        <v xml:space="preserve">   841290</v>
      </c>
      <c r="B8628" t="str">
        <f>T("   PARTIES DE MOTEURS ET MACHINES MOTRICES NON-ÉLECTRIQUES, N.D.A.")</f>
        <v xml:space="preserve">   PARTIES DE MOTEURS ET MACHINES MOTRICES NON-ÉLECTRIQUES, N.D.A.</v>
      </c>
      <c r="C8628">
        <v>122009</v>
      </c>
      <c r="D8628">
        <v>1</v>
      </c>
    </row>
    <row r="8629" spans="1:4" x14ac:dyDescent="0.25">
      <c r="A8629" t="str">
        <f>T("   841810")</f>
        <v xml:space="preserve">   841810</v>
      </c>
      <c r="B8629" t="str">
        <f>T("   Réfrigérateurs et congélateurs-conservateurs combinés, avec portes extérieures séparées")</f>
        <v xml:space="preserve">   Réfrigérateurs et congélateurs-conservateurs combinés, avec portes extérieures séparées</v>
      </c>
      <c r="C8629">
        <v>250577</v>
      </c>
      <c r="D8629">
        <v>400</v>
      </c>
    </row>
    <row r="8630" spans="1:4" x14ac:dyDescent="0.25">
      <c r="A8630" t="str">
        <f>T("   841822")</f>
        <v xml:space="preserve">   841822</v>
      </c>
      <c r="B8630" t="str">
        <f>T("   Réfrigérateurs ménagers à absorption, électriques")</f>
        <v xml:space="preserve">   Réfrigérateurs ménagers à absorption, électriques</v>
      </c>
      <c r="C8630">
        <v>1800610</v>
      </c>
      <c r="D8630">
        <v>6000</v>
      </c>
    </row>
    <row r="8631" spans="1:4" x14ac:dyDescent="0.25">
      <c r="A8631" t="str">
        <f>T("   851610")</f>
        <v xml:space="preserve">   851610</v>
      </c>
      <c r="B8631" t="str">
        <f>T("   Chauffe-eau et thermoplongeurs électriques")</f>
        <v xml:space="preserve">   Chauffe-eau et thermoplongeurs électriques</v>
      </c>
      <c r="C8631">
        <v>9122511</v>
      </c>
      <c r="D8631">
        <v>10057</v>
      </c>
    </row>
    <row r="8632" spans="1:4" x14ac:dyDescent="0.25">
      <c r="A8632" t="str">
        <f>T("   851690")</f>
        <v xml:space="preserve">   851690</v>
      </c>
      <c r="B8632"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8632">
        <v>50811</v>
      </c>
      <c r="D8632">
        <v>10</v>
      </c>
    </row>
    <row r="8633" spans="1:4" x14ac:dyDescent="0.25">
      <c r="A8633" t="str">
        <f>T("   853990")</f>
        <v xml:space="preserve">   853990</v>
      </c>
      <c r="B8633" t="str">
        <f>T("   Parties de lampes et de tubes à incandescence ou à décharge, de phares et projecteurs scellés, de lampes à rayons ultraviolets et infrarouges et de lampes à arc, n.d.a.")</f>
        <v xml:space="preserve">   Parties de lampes et de tubes à incandescence ou à décharge, de phares et projecteurs scellés, de lampes à rayons ultraviolets et infrarouges et de lampes à arc, n.d.a.</v>
      </c>
      <c r="C8633">
        <v>83598640</v>
      </c>
      <c r="D8633">
        <v>36390</v>
      </c>
    </row>
    <row r="8634" spans="1:4" x14ac:dyDescent="0.25">
      <c r="A8634" t="str">
        <f>T("   870322")</f>
        <v xml:space="preserve">   870322</v>
      </c>
      <c r="B8634" t="s">
        <v>472</v>
      </c>
      <c r="C8634">
        <v>3787968</v>
      </c>
      <c r="D8634">
        <v>1200</v>
      </c>
    </row>
    <row r="8635" spans="1:4" x14ac:dyDescent="0.25">
      <c r="A8635" t="str">
        <f>T("   870333")</f>
        <v xml:space="preserve">   870333</v>
      </c>
      <c r="B8635" t="s">
        <v>477</v>
      </c>
      <c r="C8635">
        <v>12796728</v>
      </c>
      <c r="D8635">
        <v>1730</v>
      </c>
    </row>
    <row r="8636" spans="1:4" x14ac:dyDescent="0.25">
      <c r="A8636" t="str">
        <f>T("   870899")</f>
        <v xml:space="preserve">   870899</v>
      </c>
      <c r="B863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636">
        <v>9000270</v>
      </c>
      <c r="D8636">
        <v>280</v>
      </c>
    </row>
    <row r="8637" spans="1:4" x14ac:dyDescent="0.25">
      <c r="A8637" t="str">
        <f>T("   940350")</f>
        <v xml:space="preserve">   940350</v>
      </c>
      <c r="B8637" t="str">
        <f>T("   Meubles pour chambres à coucher, en bois (sauf sièges)")</f>
        <v xml:space="preserve">   Meubles pour chambres à coucher, en bois (sauf sièges)</v>
      </c>
      <c r="C8637">
        <v>6929540</v>
      </c>
      <c r="D8637">
        <v>13410</v>
      </c>
    </row>
    <row r="8638" spans="1:4" x14ac:dyDescent="0.25">
      <c r="A8638" t="str">
        <f>T("   950299")</f>
        <v xml:space="preserve">   950299</v>
      </c>
      <c r="B8638" t="str">
        <f>T("   Parties et accessoires pour poupées représentant uniquement l'être humain, n.d.a.")</f>
        <v xml:space="preserve">   Parties et accessoires pour poupées représentant uniquement l'être humain, n.d.a.</v>
      </c>
      <c r="C8638">
        <v>926104</v>
      </c>
      <c r="D8638">
        <v>1200</v>
      </c>
    </row>
    <row r="8639" spans="1:4" x14ac:dyDescent="0.25">
      <c r="A8639" t="str">
        <f>T("SD")</f>
        <v>SD</v>
      </c>
      <c r="B8639" t="str">
        <f>T("Soudan")</f>
        <v>Soudan</v>
      </c>
    </row>
    <row r="8640" spans="1:4" x14ac:dyDescent="0.25">
      <c r="A8640" t="str">
        <f>T("   ZZ_Total_Produit_SH6")</f>
        <v xml:space="preserve">   ZZ_Total_Produit_SH6</v>
      </c>
      <c r="B8640" t="str">
        <f>T("   ZZ_Total_Produit_SH6")</f>
        <v xml:space="preserve">   ZZ_Total_Produit_SH6</v>
      </c>
      <c r="C8640">
        <v>45830613</v>
      </c>
      <c r="D8640">
        <v>5500</v>
      </c>
    </row>
    <row r="8641" spans="1:4" x14ac:dyDescent="0.25">
      <c r="A8641" t="str">
        <f>T("   870324")</f>
        <v xml:space="preserve">   870324</v>
      </c>
      <c r="B8641" t="s">
        <v>474</v>
      </c>
      <c r="C8641">
        <v>16312413</v>
      </c>
      <c r="D8641">
        <v>2500</v>
      </c>
    </row>
    <row r="8642" spans="1:4" x14ac:dyDescent="0.25">
      <c r="A8642" t="str">
        <f>T("   870421")</f>
        <v xml:space="preserve">   870421</v>
      </c>
      <c r="B8642" t="s">
        <v>478</v>
      </c>
      <c r="C8642">
        <v>29518200</v>
      </c>
      <c r="D8642">
        <v>3000</v>
      </c>
    </row>
    <row r="8643" spans="1:4" x14ac:dyDescent="0.25">
      <c r="A8643" t="str">
        <f>T("SE")</f>
        <v>SE</v>
      </c>
      <c r="B8643" t="str">
        <f>T("Suède")</f>
        <v>Suède</v>
      </c>
    </row>
    <row r="8644" spans="1:4" x14ac:dyDescent="0.25">
      <c r="A8644" t="str">
        <f>T("   ZZ_Total_Produit_SH6")</f>
        <v xml:space="preserve">   ZZ_Total_Produit_SH6</v>
      </c>
      <c r="B8644" t="str">
        <f>T("   ZZ_Total_Produit_SH6")</f>
        <v xml:space="preserve">   ZZ_Total_Produit_SH6</v>
      </c>
      <c r="C8644">
        <v>14797073119</v>
      </c>
      <c r="D8644">
        <v>45539564.530000001</v>
      </c>
    </row>
    <row r="8645" spans="1:4" x14ac:dyDescent="0.25">
      <c r="A8645" t="str">
        <f>T("   252310")</f>
        <v xml:space="preserve">   252310</v>
      </c>
      <c r="B8645" t="str">
        <f>T("   Ciments non pulvérisés dits 'clinkers'")</f>
        <v xml:space="preserve">   Ciments non pulvérisés dits 'clinkers'</v>
      </c>
      <c r="C8645">
        <v>630000000</v>
      </c>
      <c r="D8645">
        <v>18000000</v>
      </c>
    </row>
    <row r="8646" spans="1:4" x14ac:dyDescent="0.25">
      <c r="A8646" t="str">
        <f>T("   271019")</f>
        <v xml:space="preserve">   271019</v>
      </c>
      <c r="B8646" t="str">
        <f>T("   Huiles moyennes et préparations, de pétrole ou de minéraux bitumineux, n.d.a.")</f>
        <v xml:space="preserve">   Huiles moyennes et préparations, de pétrole ou de minéraux bitumineux, n.d.a.</v>
      </c>
      <c r="C8646">
        <v>6482587056</v>
      </c>
      <c r="D8646">
        <v>19365685</v>
      </c>
    </row>
    <row r="8647" spans="1:4" x14ac:dyDescent="0.25">
      <c r="A8647" t="str">
        <f>T("   281290")</f>
        <v xml:space="preserve">   281290</v>
      </c>
      <c r="B8647" t="str">
        <f>T("   Halogénures et oxyhalogénures des éléments non métalliques (à l'excl. des chlorures et des oxychlorures)")</f>
        <v xml:space="preserve">   Halogénures et oxyhalogénures des éléments non métalliques (à l'excl. des chlorures et des oxychlorures)</v>
      </c>
      <c r="C8647">
        <v>3256308</v>
      </c>
      <c r="D8647">
        <v>210</v>
      </c>
    </row>
    <row r="8648" spans="1:4" x14ac:dyDescent="0.25">
      <c r="A8648" t="str">
        <f>T("   401220")</f>
        <v xml:space="preserve">   401220</v>
      </c>
      <c r="B8648" t="str">
        <f>T("   Pneumatiques usagés, en caoutchouc")</f>
        <v xml:space="preserve">   Pneumatiques usagés, en caoutchouc</v>
      </c>
      <c r="C8648">
        <v>3900469</v>
      </c>
      <c r="D8648">
        <v>20000</v>
      </c>
    </row>
    <row r="8649" spans="1:4" x14ac:dyDescent="0.25">
      <c r="A8649" t="str">
        <f>T("   401310")</f>
        <v xml:space="preserve">   401310</v>
      </c>
      <c r="B8649"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8649">
        <v>787152</v>
      </c>
      <c r="D8649">
        <v>1000</v>
      </c>
    </row>
    <row r="8650" spans="1:4" x14ac:dyDescent="0.25">
      <c r="A8650" t="str">
        <f>T("   401693")</f>
        <v xml:space="preserve">   401693</v>
      </c>
      <c r="B8650" t="str">
        <f>T("   Joints en caoutchouc vulcanisé non durci (à l'excl. des articles en caoutchouc alvéolaire)")</f>
        <v xml:space="preserve">   Joints en caoutchouc vulcanisé non durci (à l'excl. des articles en caoutchouc alvéolaire)</v>
      </c>
      <c r="C8650">
        <v>19528</v>
      </c>
      <c r="D8650">
        <v>1</v>
      </c>
    </row>
    <row r="8651" spans="1:4" x14ac:dyDescent="0.25">
      <c r="A8651" t="str">
        <f>T("   441029")</f>
        <v xml:space="preserve">   441029</v>
      </c>
      <c r="B8651" t="str">
        <f>T("   Panneaux dits 'oriented strand board' et panneaux dits 'waferboard', en bois (sauf bruts ou simplement poncés)")</f>
        <v xml:space="preserve">   Panneaux dits 'oriented strand board' et panneaux dits 'waferboard', en bois (sauf bruts ou simplement poncés)</v>
      </c>
      <c r="C8651">
        <v>10004046</v>
      </c>
      <c r="D8651">
        <v>79062</v>
      </c>
    </row>
    <row r="8652" spans="1:4" x14ac:dyDescent="0.25">
      <c r="A8652" t="str">
        <f>T("   441111")</f>
        <v xml:space="preserve">   441111</v>
      </c>
      <c r="B8652" t="s">
        <v>171</v>
      </c>
      <c r="C8652">
        <v>10449351</v>
      </c>
      <c r="D8652">
        <v>79061</v>
      </c>
    </row>
    <row r="8653" spans="1:4" x14ac:dyDescent="0.25">
      <c r="A8653" t="str">
        <f>T("   441213")</f>
        <v xml:space="preserve">   441213</v>
      </c>
      <c r="B8653" t="s">
        <v>176</v>
      </c>
      <c r="C8653">
        <v>10004046</v>
      </c>
      <c r="D8653">
        <v>79062</v>
      </c>
    </row>
    <row r="8654" spans="1:4" x14ac:dyDescent="0.25">
      <c r="A8654" t="str">
        <f>T("   441820")</f>
        <v xml:space="preserve">   441820</v>
      </c>
      <c r="B8654" t="str">
        <f>T("   Portes et leurs cadres, chambranles et seuils, en bois")</f>
        <v xml:space="preserve">   Portes et leurs cadres, chambranles et seuils, en bois</v>
      </c>
      <c r="C8654">
        <v>28684022</v>
      </c>
      <c r="D8654">
        <v>62787</v>
      </c>
    </row>
    <row r="8655" spans="1:4" x14ac:dyDescent="0.25">
      <c r="A8655" t="str">
        <f>T("   480100")</f>
        <v xml:space="preserve">   480100</v>
      </c>
      <c r="B8655"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8655">
        <v>43454405</v>
      </c>
      <c r="D8655">
        <v>91011</v>
      </c>
    </row>
    <row r="8656" spans="1:4" x14ac:dyDescent="0.25">
      <c r="A8656" t="str">
        <f>T("   480256")</f>
        <v xml:space="preserve">   480256</v>
      </c>
      <c r="B8656" t="s">
        <v>188</v>
      </c>
      <c r="C8656">
        <v>814185356</v>
      </c>
      <c r="D8656">
        <v>1547310</v>
      </c>
    </row>
    <row r="8657" spans="1:4" x14ac:dyDescent="0.25">
      <c r="A8657" t="str">
        <f>T("   480257")</f>
        <v xml:space="preserve">   480257</v>
      </c>
      <c r="B8657" t="s">
        <v>189</v>
      </c>
      <c r="C8657">
        <v>396496208</v>
      </c>
      <c r="D8657">
        <v>779973</v>
      </c>
    </row>
    <row r="8658" spans="1:4" x14ac:dyDescent="0.25">
      <c r="A8658" t="str">
        <f>T("   480421")</f>
        <v xml:space="preserve">   480421</v>
      </c>
      <c r="B8658" t="str">
        <f>T("   PAPIERS KRAFT POUR SACS DE GRANDE CONTENANCE, ÉCRUS, NON-COUCHÉS NI ENDUITS, EN ROULEAUX D'UNE LARGEUR &gt; 36 CM (À L'EXCL. DES ARTICLES DU N° 4802, 4803 OU 4808)")</f>
        <v xml:space="preserve">   PAPIERS KRAFT POUR SACS DE GRANDE CONTENANCE, ÉCRUS, NON-COUCHÉS NI ENDUITS, EN ROULEAUX D'UNE LARGEUR &gt; 36 CM (À L'EXCL. DES ARTICLES DU N° 4802, 4803 OU 4808)</v>
      </c>
      <c r="C8658">
        <v>174549834</v>
      </c>
      <c r="D8658">
        <v>237626</v>
      </c>
    </row>
    <row r="8659" spans="1:4" x14ac:dyDescent="0.25">
      <c r="A8659" t="str">
        <f>T("   480429")</f>
        <v xml:space="preserve">   480429</v>
      </c>
      <c r="B8659" t="str">
        <f>T("   PAPIERS KRAFT POUR SACS DE GRANDE CONTENANCE, NON-COUCHÉS NI ENDUITS, EN ROULEAUX D'UNE LARGEUR &gt; 36 CM (À L'EXCL. DES PAPIERS ÉCRUS AINSI QUE DES ARTICLES DU N° 4802, 4803 OU 4808)")</f>
        <v xml:space="preserve">   PAPIERS KRAFT POUR SACS DE GRANDE CONTENANCE, NON-COUCHÉS NI ENDUITS, EN ROULEAUX D'UNE LARGEUR &gt; 36 CM (À L'EXCL. DES PAPIERS ÉCRUS AINSI QUE DES ARTICLES DU N° 4802, 4803 OU 4808)</v>
      </c>
      <c r="C8659">
        <v>1762768</v>
      </c>
      <c r="D8659">
        <v>26408</v>
      </c>
    </row>
    <row r="8660" spans="1:4" x14ac:dyDescent="0.25">
      <c r="A8660" t="str">
        <f>T("   480439")</f>
        <v xml:space="preserve">   480439</v>
      </c>
      <c r="B8660" t="s">
        <v>195</v>
      </c>
      <c r="C8660">
        <v>158168456</v>
      </c>
      <c r="D8660">
        <v>247645</v>
      </c>
    </row>
    <row r="8661" spans="1:4" x14ac:dyDescent="0.25">
      <c r="A8661" t="str">
        <f>T("   481029")</f>
        <v xml:space="preserve">   481029</v>
      </c>
      <c r="B8661" t="s">
        <v>204</v>
      </c>
      <c r="C8661">
        <v>21237584</v>
      </c>
      <c r="D8661">
        <v>38282</v>
      </c>
    </row>
    <row r="8662" spans="1:4" x14ac:dyDescent="0.25">
      <c r="A8662" t="str">
        <f>T("   482340")</f>
        <v xml:space="preserve">   482340</v>
      </c>
      <c r="B8662"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8662">
        <v>290622</v>
      </c>
      <c r="D8662">
        <v>1</v>
      </c>
    </row>
    <row r="8663" spans="1:4" x14ac:dyDescent="0.25">
      <c r="A8663" t="str">
        <f>T("   490700")</f>
        <v xml:space="preserve">   490700</v>
      </c>
      <c r="B8663" t="s">
        <v>218</v>
      </c>
      <c r="C8663">
        <v>1992179</v>
      </c>
      <c r="D8663">
        <v>4709</v>
      </c>
    </row>
    <row r="8664" spans="1:4" x14ac:dyDescent="0.25">
      <c r="A8664" t="str">
        <f>T("   681110")</f>
        <v xml:space="preserve">   681110</v>
      </c>
      <c r="B8664" t="str">
        <f>T("   Plaques ondulées en amiante-ciment, cellulose-ciment ou simil.")</f>
        <v xml:space="preserve">   Plaques ondulées en amiante-ciment, cellulose-ciment ou simil.</v>
      </c>
      <c r="C8664">
        <v>82683082</v>
      </c>
      <c r="D8664">
        <v>751000</v>
      </c>
    </row>
    <row r="8665" spans="1:4" x14ac:dyDescent="0.25">
      <c r="A8665" t="str">
        <f>T("   681120")</f>
        <v xml:space="preserve">   681120</v>
      </c>
      <c r="B8665" t="str">
        <f>T("   Plaques, panneaux, carreaux, tuiles et articles simil., en amiante-ciment, cellulose-ciment ou simil. (sauf plaques ondulées)")</f>
        <v xml:space="preserve">   Plaques, panneaux, carreaux, tuiles et articles simil., en amiante-ciment, cellulose-ciment ou simil. (sauf plaques ondulées)</v>
      </c>
      <c r="C8665">
        <v>40929779</v>
      </c>
      <c r="D8665">
        <v>401950</v>
      </c>
    </row>
    <row r="8666" spans="1:4" x14ac:dyDescent="0.25">
      <c r="A8666" t="str">
        <f>T("   690890")</f>
        <v xml:space="preserve">   690890</v>
      </c>
      <c r="B8666" t="s">
        <v>307</v>
      </c>
      <c r="C8666">
        <v>309758984</v>
      </c>
      <c r="D8666">
        <v>3112609</v>
      </c>
    </row>
    <row r="8667" spans="1:4" x14ac:dyDescent="0.25">
      <c r="A8667" t="str">
        <f>T("   691010")</f>
        <v xml:space="preserve">   691010</v>
      </c>
      <c r="B8667" t="s">
        <v>309</v>
      </c>
      <c r="C8667">
        <v>5942981</v>
      </c>
      <c r="D8667">
        <v>19062</v>
      </c>
    </row>
    <row r="8668" spans="1:4" x14ac:dyDescent="0.25">
      <c r="A8668" t="str">
        <f>T("   691090")</f>
        <v xml:space="preserve">   691090</v>
      </c>
      <c r="B8668" t="s">
        <v>310</v>
      </c>
      <c r="C8668">
        <v>52873115</v>
      </c>
      <c r="D8668">
        <v>175486</v>
      </c>
    </row>
    <row r="8669" spans="1:4" x14ac:dyDescent="0.25">
      <c r="A8669" t="str">
        <f>T("   691490")</f>
        <v xml:space="preserve">   691490</v>
      </c>
      <c r="B8669" t="str">
        <f>T("   Ouvrages en céramique autres que la porcelaine n.d.a.")</f>
        <v xml:space="preserve">   Ouvrages en céramique autres que la porcelaine n.d.a.</v>
      </c>
      <c r="C8669">
        <v>96170</v>
      </c>
      <c r="D8669">
        <v>1</v>
      </c>
    </row>
    <row r="8670" spans="1:4" x14ac:dyDescent="0.25">
      <c r="A8670" t="str">
        <f>T("   700600")</f>
        <v xml:space="preserve">   700600</v>
      </c>
      <c r="B8670" t="s">
        <v>316</v>
      </c>
      <c r="C8670">
        <v>11841105</v>
      </c>
      <c r="D8670">
        <v>80400</v>
      </c>
    </row>
    <row r="8671" spans="1:4" x14ac:dyDescent="0.25">
      <c r="A8671" t="str">
        <f>T("   701690")</f>
        <v xml:space="preserve">   701690</v>
      </c>
      <c r="B8671" t="s">
        <v>328</v>
      </c>
      <c r="C8671">
        <v>5025506</v>
      </c>
      <c r="D8671">
        <v>21000</v>
      </c>
    </row>
    <row r="8672" spans="1:4" x14ac:dyDescent="0.25">
      <c r="A8672" t="str">
        <f>T("   721190")</f>
        <v xml:space="preserve">   721190</v>
      </c>
      <c r="B8672" t="str">
        <f>T("   PRODUITS LAMINÉS PLATS, EN FER OU EN ACIERS NON-ALLIÉS, D'UNE LARGEUR &lt; 600 MM, LAMINÉS À CHAUD OU À FROID ET AYANT SUBI CERTAINES OUVRAISONS PLUS POUSSÉES, MAIS NON-PLAQUÉS NI REVÊTUS")</f>
        <v xml:space="preserve">   PRODUITS LAMINÉS PLATS, EN FER OU EN ACIERS NON-ALLIÉS, D'UNE LARGEUR &lt; 600 MM, LAMINÉS À CHAUD OU À FROID ET AYANT SUBI CERTAINES OUVRAISONS PLUS POUSSÉES, MAIS NON-PLAQUÉS NI REVÊTUS</v>
      </c>
      <c r="C8672">
        <v>1458198</v>
      </c>
      <c r="D8672">
        <v>380</v>
      </c>
    </row>
    <row r="8673" spans="1:4" x14ac:dyDescent="0.25">
      <c r="A8673" t="str">
        <f>T("   722540")</f>
        <v xml:space="preserve">   722540</v>
      </c>
      <c r="B8673" t="str">
        <f>T("   PRODUITS LAMINÉS PLATS EN ACIERS ALLIÉS AUTRES QU'ACIERS INOXYDABLES, D'UNE LARGEUR &gt;= 600 MM, SIMPL. LAMINÉS À CHAUD, NON-ENROULÉS (SAUF ACIERS AU SILICIUM DITS -MAGNÉTIQUES-)")</f>
        <v xml:space="preserve">   PRODUITS LAMINÉS PLATS EN ACIERS ALLIÉS AUTRES QU'ACIERS INOXYDABLES, D'UNE LARGEUR &gt;= 600 MM, SIMPL. LAMINÉS À CHAUD, NON-ENROULÉS (SAUF ACIERS AU SILICIUM DITS -MAGNÉTIQUES-)</v>
      </c>
      <c r="C8673">
        <v>25265165</v>
      </c>
      <c r="D8673">
        <v>23838</v>
      </c>
    </row>
    <row r="8674" spans="1:4" x14ac:dyDescent="0.25">
      <c r="A8674" t="str">
        <f>T("   730799")</f>
        <v xml:space="preserve">   730799</v>
      </c>
      <c r="B8674"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8674">
        <v>48541</v>
      </c>
      <c r="D8674">
        <v>1</v>
      </c>
    </row>
    <row r="8675" spans="1:4" x14ac:dyDescent="0.25">
      <c r="A8675" t="str">
        <f>T("   731815")</f>
        <v xml:space="preserve">   731815</v>
      </c>
      <c r="B8675" t="s">
        <v>354</v>
      </c>
      <c r="C8675">
        <v>14414768</v>
      </c>
      <c r="D8675">
        <v>410</v>
      </c>
    </row>
    <row r="8676" spans="1:4" x14ac:dyDescent="0.25">
      <c r="A8676" t="str">
        <f>T("   731822")</f>
        <v xml:space="preserve">   731822</v>
      </c>
      <c r="B8676" t="str">
        <f>T("   Rondelles en fonte, fer ou acier (sauf rondelles destinées à faire ressort et autres rondelles de blocage)")</f>
        <v xml:space="preserve">   Rondelles en fonte, fer ou acier (sauf rondelles destinées à faire ressort et autres rondelles de blocage)</v>
      </c>
      <c r="C8676">
        <v>315517</v>
      </c>
      <c r="D8676">
        <v>12</v>
      </c>
    </row>
    <row r="8677" spans="1:4" x14ac:dyDescent="0.25">
      <c r="A8677" t="str">
        <f>T("   820719")</f>
        <v xml:space="preserve">   820719</v>
      </c>
      <c r="B8677"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8677">
        <v>452612</v>
      </c>
      <c r="D8677">
        <v>10</v>
      </c>
    </row>
    <row r="8678" spans="1:4" x14ac:dyDescent="0.25">
      <c r="A8678" t="str">
        <f>T("   821599")</f>
        <v xml:space="preserve">   821599</v>
      </c>
      <c r="B8678" t="s">
        <v>380</v>
      </c>
      <c r="C8678">
        <v>25489960</v>
      </c>
      <c r="D8678">
        <v>2160</v>
      </c>
    </row>
    <row r="8679" spans="1:4" x14ac:dyDescent="0.25">
      <c r="A8679" t="str">
        <f>T("   830140")</f>
        <v xml:space="preserve">   830140</v>
      </c>
      <c r="B8679"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8679">
        <v>921899</v>
      </c>
      <c r="D8679">
        <v>120.4</v>
      </c>
    </row>
    <row r="8680" spans="1:4" x14ac:dyDescent="0.25">
      <c r="A8680" t="str">
        <f>T("   840999")</f>
        <v xml:space="preserve">   840999</v>
      </c>
      <c r="B8680"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8680">
        <v>2475593</v>
      </c>
      <c r="D8680">
        <v>88</v>
      </c>
    </row>
    <row r="8681" spans="1:4" x14ac:dyDescent="0.25">
      <c r="A8681" t="str">
        <f>T("   841381")</f>
        <v xml:space="preserve">   841381</v>
      </c>
      <c r="B8681" t="s">
        <v>398</v>
      </c>
      <c r="C8681">
        <v>1555281</v>
      </c>
      <c r="D8681">
        <v>60</v>
      </c>
    </row>
    <row r="8682" spans="1:4" x14ac:dyDescent="0.25">
      <c r="A8682" t="str">
        <f>T("   842123")</f>
        <v xml:space="preserve">   842123</v>
      </c>
      <c r="B8682"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8682">
        <v>3976258</v>
      </c>
      <c r="D8682">
        <v>210.4</v>
      </c>
    </row>
    <row r="8683" spans="1:4" x14ac:dyDescent="0.25">
      <c r="A8683" t="str">
        <f>T("   842129")</f>
        <v xml:space="preserve">   842129</v>
      </c>
      <c r="B8683"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8683">
        <v>372815</v>
      </c>
      <c r="D8683">
        <v>6.5</v>
      </c>
    </row>
    <row r="8684" spans="1:4" x14ac:dyDescent="0.25">
      <c r="A8684" t="str">
        <f>T("   842230")</f>
        <v xml:space="preserve">   842230</v>
      </c>
      <c r="B8684"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8684">
        <v>1918914</v>
      </c>
      <c r="D8684">
        <v>23</v>
      </c>
    </row>
    <row r="8685" spans="1:4" x14ac:dyDescent="0.25">
      <c r="A8685" t="str">
        <f>T("   842959")</f>
        <v xml:space="preserve">   842959</v>
      </c>
      <c r="B8685"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8685">
        <v>88069189</v>
      </c>
      <c r="D8685">
        <v>30200</v>
      </c>
    </row>
    <row r="8686" spans="1:4" x14ac:dyDescent="0.25">
      <c r="A8686" t="str">
        <f>T("   843120")</f>
        <v xml:space="preserve">   843120</v>
      </c>
      <c r="B8686" t="str">
        <f>T("   Parties de chariots-gerbeurs et autres chariots de manutention munis d'un dispositif de levage, n.d.a.")</f>
        <v xml:space="preserve">   Parties de chariots-gerbeurs et autres chariots de manutention munis d'un dispositif de levage, n.d.a.</v>
      </c>
      <c r="C8686">
        <v>39026875</v>
      </c>
      <c r="D8686">
        <v>3182</v>
      </c>
    </row>
    <row r="8687" spans="1:4" x14ac:dyDescent="0.25">
      <c r="A8687" t="str">
        <f>T("   843139")</f>
        <v xml:space="preserve">   843139</v>
      </c>
      <c r="B8687" t="str">
        <f>T("   Parties de machines et appareils du n° 8428, n.d.a.")</f>
        <v xml:space="preserve">   Parties de machines et appareils du n° 8428, n.d.a.</v>
      </c>
      <c r="C8687">
        <v>52177308</v>
      </c>
      <c r="D8687">
        <v>1626</v>
      </c>
    </row>
    <row r="8688" spans="1:4" x14ac:dyDescent="0.25">
      <c r="A8688" t="str">
        <f>T("   843149")</f>
        <v xml:space="preserve">   843149</v>
      </c>
      <c r="B8688" t="str">
        <f>T("   Parties de machines et appareils du n° 8426, 8429 ou 8430, n.d.a.")</f>
        <v xml:space="preserve">   Parties de machines et appareils du n° 8426, 8429 ou 8430, n.d.a.</v>
      </c>
      <c r="C8688">
        <v>8282604</v>
      </c>
      <c r="D8688">
        <v>566</v>
      </c>
    </row>
    <row r="8689" spans="1:4" x14ac:dyDescent="0.25">
      <c r="A8689" t="str">
        <f>T("   847160")</f>
        <v xml:space="preserve">   847160</v>
      </c>
      <c r="B8689"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8689">
        <v>154952</v>
      </c>
      <c r="D8689">
        <v>1</v>
      </c>
    </row>
    <row r="8690" spans="1:4" x14ac:dyDescent="0.25">
      <c r="A8690" t="str">
        <f>T("   848180")</f>
        <v xml:space="preserve">   848180</v>
      </c>
      <c r="B8690"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8690">
        <v>4149058</v>
      </c>
      <c r="D8690">
        <v>509.2</v>
      </c>
    </row>
    <row r="8691" spans="1:4" x14ac:dyDescent="0.25">
      <c r="A8691" t="str">
        <f>T("   848220")</f>
        <v xml:space="preserve">   848220</v>
      </c>
      <c r="B8691" t="str">
        <f>T("   Roulements à rouleaux coniques, y.c. les assemblages de cônes et rouleaux coniques")</f>
        <v xml:space="preserve">   Roulements à rouleaux coniques, y.c. les assemblages de cônes et rouleaux coniques</v>
      </c>
      <c r="C8691">
        <v>1654331</v>
      </c>
      <c r="D8691">
        <v>58</v>
      </c>
    </row>
    <row r="8692" spans="1:4" x14ac:dyDescent="0.25">
      <c r="A8692" t="str">
        <f>T("   848330")</f>
        <v xml:space="preserve">   848330</v>
      </c>
      <c r="B8692" t="str">
        <f>T("   Paliers pour machines, sans roulements incorporés; coussinets et coquilles de coussinets pour machines")</f>
        <v xml:space="preserve">   Paliers pour machines, sans roulements incorporés; coussinets et coquilles de coussinets pour machines</v>
      </c>
      <c r="C8692">
        <v>2058540</v>
      </c>
      <c r="D8692">
        <v>66</v>
      </c>
    </row>
    <row r="8693" spans="1:4" x14ac:dyDescent="0.25">
      <c r="A8693" t="str">
        <f>T("   848490")</f>
        <v xml:space="preserve">   848490</v>
      </c>
      <c r="B8693" t="str">
        <f>T("   Jeux ou assortiments de joints de composition différente présentés en pochettes, enveloppes ou emballages analogues")</f>
        <v xml:space="preserve">   Jeux ou assortiments de joints de composition différente présentés en pochettes, enveloppes ou emballages analogues</v>
      </c>
      <c r="C8693">
        <v>3004644</v>
      </c>
      <c r="D8693">
        <v>46</v>
      </c>
    </row>
    <row r="8694" spans="1:4" x14ac:dyDescent="0.25">
      <c r="A8694" t="str">
        <f>T("   850211")</f>
        <v xml:space="preserve">   850211</v>
      </c>
      <c r="B8694" t="s">
        <v>444</v>
      </c>
      <c r="C8694">
        <v>103363576</v>
      </c>
      <c r="D8694">
        <v>7000</v>
      </c>
    </row>
    <row r="8695" spans="1:4" x14ac:dyDescent="0.25">
      <c r="A8695" t="str">
        <f>T("   850300")</f>
        <v xml:space="preserve">   850300</v>
      </c>
      <c r="B8695"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8695">
        <v>15975879</v>
      </c>
      <c r="D8695">
        <v>432.2</v>
      </c>
    </row>
    <row r="8696" spans="1:4" x14ac:dyDescent="0.25">
      <c r="A8696" t="str">
        <f>T("   851711")</f>
        <v xml:space="preserve">   851711</v>
      </c>
      <c r="B8696" t="str">
        <f>T("   Postes téléphoniques d'usagers pour la téléphonie par fil à combinés sans fil")</f>
        <v xml:space="preserve">   Postes téléphoniques d'usagers pour la téléphonie par fil à combinés sans fil</v>
      </c>
      <c r="C8696">
        <v>7215195</v>
      </c>
      <c r="D8696">
        <v>3181</v>
      </c>
    </row>
    <row r="8697" spans="1:4" x14ac:dyDescent="0.25">
      <c r="A8697" t="str">
        <f>T("   851780")</f>
        <v xml:space="preserve">   851780</v>
      </c>
      <c r="B8697" t="s">
        <v>453</v>
      </c>
      <c r="C8697">
        <v>4953879107</v>
      </c>
      <c r="D8697">
        <v>157394.82999999999</v>
      </c>
    </row>
    <row r="8698" spans="1:4" x14ac:dyDescent="0.25">
      <c r="A8698" t="str">
        <f>T("   851790")</f>
        <v xml:space="preserve">   851790</v>
      </c>
      <c r="B8698" t="s">
        <v>454</v>
      </c>
      <c r="C8698">
        <v>210914</v>
      </c>
      <c r="D8698">
        <v>180</v>
      </c>
    </row>
    <row r="8699" spans="1:4" x14ac:dyDescent="0.25">
      <c r="A8699" t="str">
        <f>T("   852719")</f>
        <v xml:space="preserve">   852719</v>
      </c>
      <c r="B8699"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8699">
        <v>2168100</v>
      </c>
      <c r="D8699">
        <v>14</v>
      </c>
    </row>
    <row r="8700" spans="1:4" x14ac:dyDescent="0.25">
      <c r="A8700" t="str">
        <f>T("   853690")</f>
        <v xml:space="preserve">   853690</v>
      </c>
      <c r="B8700" t="s">
        <v>467</v>
      </c>
      <c r="C8700">
        <v>49636</v>
      </c>
      <c r="D8700">
        <v>1</v>
      </c>
    </row>
    <row r="8701" spans="1:4" x14ac:dyDescent="0.25">
      <c r="A8701" t="str">
        <f>T("   853931")</f>
        <v xml:space="preserve">   853931</v>
      </c>
      <c r="B8701" t="str">
        <f>T("   Lampes et tubes à décharge, fluorescents, à cathode chaude")</f>
        <v xml:space="preserve">   Lampes et tubes à décharge, fluorescents, à cathode chaude</v>
      </c>
      <c r="C8701">
        <v>1297783</v>
      </c>
      <c r="D8701">
        <v>8662</v>
      </c>
    </row>
    <row r="8702" spans="1:4" x14ac:dyDescent="0.25">
      <c r="A8702" t="str">
        <f>T("   854420")</f>
        <v xml:space="preserve">   854420</v>
      </c>
      <c r="B8702" t="str">
        <f>T("   Câbles coaxiaux et autres conducteurs électriques coaxiaux, isolés")</f>
        <v xml:space="preserve">   Câbles coaxiaux et autres conducteurs électriques coaxiaux, isolés</v>
      </c>
      <c r="C8702">
        <v>9058008</v>
      </c>
      <c r="D8702">
        <v>313</v>
      </c>
    </row>
    <row r="8703" spans="1:4" x14ac:dyDescent="0.25">
      <c r="A8703" t="str">
        <f>T("   854460")</f>
        <v xml:space="preserve">   854460</v>
      </c>
      <c r="B8703" t="str">
        <f>T("   Conducteurs électriques, pour tension &gt; 1.000 V, n.d.a.")</f>
        <v xml:space="preserve">   Conducteurs électriques, pour tension &gt; 1.000 V, n.d.a.</v>
      </c>
      <c r="C8703">
        <v>1172096</v>
      </c>
      <c r="D8703">
        <v>11</v>
      </c>
    </row>
    <row r="8704" spans="1:4" x14ac:dyDescent="0.25">
      <c r="A8704" t="str">
        <f>T("   870210")</f>
        <v xml:space="preserve">   870210</v>
      </c>
      <c r="B8704" t="s">
        <v>469</v>
      </c>
      <c r="C8704">
        <v>1200000</v>
      </c>
      <c r="D8704">
        <v>1000</v>
      </c>
    </row>
    <row r="8705" spans="1:4" x14ac:dyDescent="0.25">
      <c r="A8705" t="str">
        <f>T("   870322")</f>
        <v xml:space="preserve">   870322</v>
      </c>
      <c r="B8705" t="s">
        <v>472</v>
      </c>
      <c r="C8705">
        <v>18004774</v>
      </c>
      <c r="D8705">
        <v>13955</v>
      </c>
    </row>
    <row r="8706" spans="1:4" x14ac:dyDescent="0.25">
      <c r="A8706" t="str">
        <f>T("   870421")</f>
        <v xml:space="preserve">   870421</v>
      </c>
      <c r="B8706" t="s">
        <v>478</v>
      </c>
      <c r="C8706">
        <v>2431463</v>
      </c>
      <c r="D8706">
        <v>2310</v>
      </c>
    </row>
    <row r="8707" spans="1:4" x14ac:dyDescent="0.25">
      <c r="A8707" t="str">
        <f>T("   870850")</f>
        <v xml:space="preserve">   870850</v>
      </c>
      <c r="B8707" t="s">
        <v>486</v>
      </c>
      <c r="C8707">
        <v>1872307</v>
      </c>
      <c r="D8707">
        <v>60</v>
      </c>
    </row>
    <row r="8708" spans="1:4" x14ac:dyDescent="0.25">
      <c r="A8708" t="str">
        <f>T("   870899")</f>
        <v xml:space="preserve">   870899</v>
      </c>
      <c r="B8708"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708">
        <v>4697329</v>
      </c>
      <c r="D8708">
        <v>166</v>
      </c>
    </row>
    <row r="8709" spans="1:4" x14ac:dyDescent="0.25">
      <c r="A8709" t="str">
        <f>T("   871200")</f>
        <v xml:space="preserve">   871200</v>
      </c>
      <c r="B8709" t="str">
        <f>T("   BICYCLETTES ET AUTRES CYCLES, -Y.C. LES TRIPORTEURS-, SANS MOTEUR")</f>
        <v xml:space="preserve">   BICYCLETTES ET AUTRES CYCLES, -Y.C. LES TRIPORTEURS-, SANS MOTEUR</v>
      </c>
      <c r="C8709">
        <v>871452</v>
      </c>
      <c r="D8709">
        <v>100</v>
      </c>
    </row>
    <row r="8710" spans="1:4" x14ac:dyDescent="0.25">
      <c r="A8710" t="str">
        <f>T("   871640")</f>
        <v xml:space="preserve">   871640</v>
      </c>
      <c r="B8710"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710">
        <v>2000000</v>
      </c>
      <c r="D8710">
        <v>2000</v>
      </c>
    </row>
    <row r="8711" spans="1:4" x14ac:dyDescent="0.25">
      <c r="A8711" t="str">
        <f>T("   901600")</f>
        <v xml:space="preserve">   901600</v>
      </c>
      <c r="B8711" t="str">
        <f>T("   Balances sensibles à un poids de 5 cg ou moins, avec ou sans poids")</f>
        <v xml:space="preserve">   Balances sensibles à un poids de 5 cg ou moins, avec ou sans poids</v>
      </c>
      <c r="C8711">
        <v>2513218</v>
      </c>
      <c r="D8711">
        <v>22</v>
      </c>
    </row>
    <row r="8712" spans="1:4" x14ac:dyDescent="0.25">
      <c r="A8712" t="str">
        <f>T("   901819")</f>
        <v xml:space="preserve">   901819</v>
      </c>
      <c r="B8712" t="s">
        <v>494</v>
      </c>
      <c r="C8712">
        <v>50785108</v>
      </c>
      <c r="D8712">
        <v>266</v>
      </c>
    </row>
    <row r="8713" spans="1:4" x14ac:dyDescent="0.25">
      <c r="A8713" t="str">
        <f>T("   901890")</f>
        <v xml:space="preserve">   901890</v>
      </c>
      <c r="B8713" t="str">
        <f>T("   Instruments et appareils pour la médecine, la chirurgie ou l'art vétérinaire, n.d.a.")</f>
        <v xml:space="preserve">   Instruments et appareils pour la médecine, la chirurgie ou l'art vétérinaire, n.d.a.</v>
      </c>
      <c r="C8713">
        <v>2941980</v>
      </c>
      <c r="D8713">
        <v>7889</v>
      </c>
    </row>
    <row r="8714" spans="1:4" x14ac:dyDescent="0.25">
      <c r="A8714" t="str">
        <f>T("   903289")</f>
        <v xml:space="preserve">   903289</v>
      </c>
      <c r="B8714" t="s">
        <v>501</v>
      </c>
      <c r="C8714">
        <v>29881497</v>
      </c>
      <c r="D8714">
        <v>265</v>
      </c>
    </row>
    <row r="8715" spans="1:4" x14ac:dyDescent="0.25">
      <c r="A8715" t="str">
        <f>T("   940180")</f>
        <v xml:space="preserve">   940180</v>
      </c>
      <c r="B8715" t="str">
        <f>T("   Sièges, n.d.a.")</f>
        <v xml:space="preserve">   Sièges, n.d.a.</v>
      </c>
      <c r="C8715">
        <v>6642832</v>
      </c>
      <c r="D8715">
        <v>49412</v>
      </c>
    </row>
    <row r="8716" spans="1:4" x14ac:dyDescent="0.25">
      <c r="A8716" t="str">
        <f>T("   940599")</f>
        <v xml:space="preserve">   940599</v>
      </c>
      <c r="B8716" t="str">
        <f>T("   Parties d'appareils d'éclairage, de lampes-réclames, d'enseignes lumineuses, de plaques indicatrices lumineuses, et simil., n.d.a.")</f>
        <v xml:space="preserve">   Parties d'appareils d'éclairage, de lampes-réclames, d'enseignes lumineuses, de plaques indicatrices lumineuses, et simil., n.d.a.</v>
      </c>
      <c r="C8716">
        <v>617731</v>
      </c>
      <c r="D8716">
        <v>16</v>
      </c>
    </row>
    <row r="8717" spans="1:4" x14ac:dyDescent="0.25">
      <c r="A8717" t="str">
        <f>T("SG")</f>
        <v>SG</v>
      </c>
      <c r="B8717" t="str">
        <f>T("Singapour")</f>
        <v>Singapour</v>
      </c>
    </row>
    <row r="8718" spans="1:4" x14ac:dyDescent="0.25">
      <c r="A8718" t="str">
        <f>T("   ZZ_Total_Produit_SH6")</f>
        <v xml:space="preserve">   ZZ_Total_Produit_SH6</v>
      </c>
      <c r="B8718" t="str">
        <f>T("   ZZ_Total_Produit_SH6")</f>
        <v xml:space="preserve">   ZZ_Total_Produit_SH6</v>
      </c>
      <c r="C8718">
        <v>10403819895.046</v>
      </c>
      <c r="D8718">
        <v>23986442.809999999</v>
      </c>
    </row>
    <row r="8719" spans="1:4" x14ac:dyDescent="0.25">
      <c r="A8719" t="str">
        <f>T("   100630")</f>
        <v xml:space="preserve">   100630</v>
      </c>
      <c r="B8719" t="str">
        <f>T("   Riz semi-blanchi ou blanchi, même poli ou glacé")</f>
        <v xml:space="preserve">   Riz semi-blanchi ou blanchi, même poli ou glacé</v>
      </c>
      <c r="C8719">
        <v>633901434.31200004</v>
      </c>
      <c r="D8719">
        <v>2245900</v>
      </c>
    </row>
    <row r="8720" spans="1:4" x14ac:dyDescent="0.25">
      <c r="A8720" t="str">
        <f>T("   150790")</f>
        <v xml:space="preserve">   150790</v>
      </c>
      <c r="B8720" t="str">
        <f>T("   Huile de soja et ses fractions, même raffinées, mais non chimiquement modifiées (à l'excl. de l'huile de soja brute)")</f>
        <v xml:space="preserve">   Huile de soja et ses fractions, même raffinées, mais non chimiquement modifiées (à l'excl. de l'huile de soja brute)</v>
      </c>
      <c r="C8720">
        <v>4400433</v>
      </c>
      <c r="D8720">
        <v>24452</v>
      </c>
    </row>
    <row r="8721" spans="1:4" x14ac:dyDescent="0.25">
      <c r="A8721" t="str">
        <f>T("   150890")</f>
        <v xml:space="preserve">   150890</v>
      </c>
      <c r="B8721" t="str">
        <f>T("   Huile d'arachide et ses fractions, même raffinées, mais non chimiquement modifiées (à l'excl. de l'huile d'arachide brute)")</f>
        <v xml:space="preserve">   Huile d'arachide et ses fractions, même raffinées, mais non chimiquement modifiées (à l'excl. de l'huile d'arachide brute)</v>
      </c>
      <c r="C8721">
        <v>327520495.625</v>
      </c>
      <c r="D8721">
        <v>839971</v>
      </c>
    </row>
    <row r="8722" spans="1:4" x14ac:dyDescent="0.25">
      <c r="A8722" t="str">
        <f>T("   151190")</f>
        <v xml:space="preserve">   151190</v>
      </c>
      <c r="B8722" t="str">
        <f>T("   Huile de palme et ses fractions, même raffinées, mais non chimiquement modifiées (à l'excl. de l'huile de palme brute)")</f>
        <v xml:space="preserve">   Huile de palme et ses fractions, même raffinées, mais non chimiquement modifiées (à l'excl. de l'huile de palme brute)</v>
      </c>
      <c r="C8722">
        <v>4269577922.1999998</v>
      </c>
      <c r="D8722">
        <v>10984824.5</v>
      </c>
    </row>
    <row r="8723" spans="1:4" x14ac:dyDescent="0.25">
      <c r="A8723" t="str">
        <f>T("   151620")</f>
        <v xml:space="preserve">   151620</v>
      </c>
      <c r="B8723"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8723">
        <v>50125243</v>
      </c>
      <c r="D8723">
        <v>230000</v>
      </c>
    </row>
    <row r="8724" spans="1:4" x14ac:dyDescent="0.25">
      <c r="A8724" t="str">
        <f>T("   170191")</f>
        <v xml:space="preserve">   170191</v>
      </c>
      <c r="B8724" t="str">
        <f>T("   Sucres de canne ou de betterave, à l'état solide, additionnés d'aromatisants ou de colorants")</f>
        <v xml:space="preserve">   Sucres de canne ou de betterave, à l'état solide, additionnés d'aromatisants ou de colorants</v>
      </c>
      <c r="C8724">
        <v>13332646.908</v>
      </c>
      <c r="D8724">
        <v>54172</v>
      </c>
    </row>
    <row r="8725" spans="1:4" x14ac:dyDescent="0.25">
      <c r="A8725" t="str">
        <f>T("   170410")</f>
        <v xml:space="preserve">   170410</v>
      </c>
      <c r="B8725" t="str">
        <f>T("   Gommes à mâcher [chewing-gum], même enrobées de sucre")</f>
        <v xml:space="preserve">   Gommes à mâcher [chewing-gum], même enrobées de sucre</v>
      </c>
      <c r="C8725">
        <v>5461714</v>
      </c>
      <c r="D8725">
        <v>25344</v>
      </c>
    </row>
    <row r="8726" spans="1:4" x14ac:dyDescent="0.25">
      <c r="A8726" t="str">
        <f>T("   170490")</f>
        <v xml:space="preserve">   170490</v>
      </c>
      <c r="B8726" t="str">
        <f>T("   Sucreries sans cacao, y.c. le chocolat blanc (à l'excl. des gommes à mâcher)")</f>
        <v xml:space="preserve">   Sucreries sans cacao, y.c. le chocolat blanc (à l'excl. des gommes à mâcher)</v>
      </c>
      <c r="C8726">
        <v>5461714</v>
      </c>
      <c r="D8726">
        <v>20510</v>
      </c>
    </row>
    <row r="8727" spans="1:4" x14ac:dyDescent="0.25">
      <c r="A8727" t="str">
        <f>T("   190190")</f>
        <v xml:space="preserve">   190190</v>
      </c>
      <c r="B8727" t="s">
        <v>50</v>
      </c>
      <c r="C8727">
        <v>14977291</v>
      </c>
      <c r="D8727">
        <v>26800</v>
      </c>
    </row>
    <row r="8728" spans="1:4" x14ac:dyDescent="0.25">
      <c r="A8728" t="str">
        <f>T("   190531")</f>
        <v xml:space="preserve">   190531</v>
      </c>
      <c r="B8728" t="str">
        <f>T("   Biscuits additionnés d'édulcorants")</f>
        <v xml:space="preserve">   Biscuits additionnés d'édulcorants</v>
      </c>
      <c r="C8728">
        <v>16477656</v>
      </c>
      <c r="D8728">
        <v>22315</v>
      </c>
    </row>
    <row r="8729" spans="1:4" x14ac:dyDescent="0.25">
      <c r="A8729" t="str">
        <f>T("   200980")</f>
        <v xml:space="preserve">   200980</v>
      </c>
      <c r="B8729"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8729">
        <v>6022074</v>
      </c>
      <c r="D8729">
        <v>21600</v>
      </c>
    </row>
    <row r="8730" spans="1:4" x14ac:dyDescent="0.25">
      <c r="A8730" t="str">
        <f>T("   200990")</f>
        <v xml:space="preserve">   200990</v>
      </c>
      <c r="B8730"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8730">
        <v>9894589</v>
      </c>
      <c r="D8730">
        <v>40404</v>
      </c>
    </row>
    <row r="8731" spans="1:4" x14ac:dyDescent="0.25">
      <c r="A8731" t="str">
        <f>T("   220600")</f>
        <v xml:space="preserve">   220600</v>
      </c>
      <c r="B8731" t="s">
        <v>61</v>
      </c>
      <c r="C8731">
        <v>3936902</v>
      </c>
      <c r="D8731">
        <v>18855</v>
      </c>
    </row>
    <row r="8732" spans="1:4" x14ac:dyDescent="0.25">
      <c r="A8732" t="str">
        <f>T("   321519")</f>
        <v xml:space="preserve">   321519</v>
      </c>
      <c r="B8732" t="str">
        <f>T("   Encres d'imprimerie, même concentrées ou sous formes solides (à l'excl. des encres noires)")</f>
        <v xml:space="preserve">   Encres d'imprimerie, même concentrées ou sous formes solides (à l'excl. des encres noires)</v>
      </c>
      <c r="C8732">
        <v>6193303</v>
      </c>
      <c r="D8732">
        <v>6355</v>
      </c>
    </row>
    <row r="8733" spans="1:4" x14ac:dyDescent="0.25">
      <c r="A8733" t="str">
        <f>T("   321590")</f>
        <v xml:space="preserve">   321590</v>
      </c>
      <c r="B8733" t="str">
        <f>T("   Encres à écrire et à dessiner, même concentrées ou sous formes solides")</f>
        <v xml:space="preserve">   Encres à écrire et à dessiner, même concentrées ou sous formes solides</v>
      </c>
      <c r="C8733">
        <v>2498890</v>
      </c>
      <c r="D8733">
        <v>146</v>
      </c>
    </row>
    <row r="8734" spans="1:4" x14ac:dyDescent="0.25">
      <c r="A8734" t="str">
        <f>T("   340111")</f>
        <v xml:space="preserve">   340111</v>
      </c>
      <c r="B8734" t="s">
        <v>98</v>
      </c>
      <c r="C8734">
        <v>59456130</v>
      </c>
      <c r="D8734">
        <v>95606</v>
      </c>
    </row>
    <row r="8735" spans="1:4" x14ac:dyDescent="0.25">
      <c r="A8735" t="str">
        <f>T("   340219")</f>
        <v xml:space="preserve">   340219</v>
      </c>
      <c r="B8735"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8735">
        <v>211348761</v>
      </c>
      <c r="D8735">
        <v>585909</v>
      </c>
    </row>
    <row r="8736" spans="1:4" x14ac:dyDescent="0.25">
      <c r="A8736" t="str">
        <f>T("   370130")</f>
        <v xml:space="preserve">   370130</v>
      </c>
      <c r="B8736" t="str">
        <f>T("   Plaques et films plans, photographiques, sensibilisés, non impressionnés, dont la dimension d'au moins un côté &gt; 255 mm")</f>
        <v xml:space="preserve">   Plaques et films plans, photographiques, sensibilisés, non impressionnés, dont la dimension d'au moins un côté &gt; 255 mm</v>
      </c>
      <c r="C8736">
        <v>9156582</v>
      </c>
      <c r="D8736">
        <v>3618</v>
      </c>
    </row>
    <row r="8737" spans="1:4" x14ac:dyDescent="0.25">
      <c r="A8737" t="str">
        <f>T("   391910")</f>
        <v xml:space="preserve">   391910</v>
      </c>
      <c r="B8737"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8737">
        <v>31555168</v>
      </c>
      <c r="D8737">
        <v>42937</v>
      </c>
    </row>
    <row r="8738" spans="1:4" x14ac:dyDescent="0.25">
      <c r="A8738" t="str">
        <f>T("   392490")</f>
        <v xml:space="preserve">   392490</v>
      </c>
      <c r="B8738" t="s">
        <v>143</v>
      </c>
      <c r="C8738">
        <v>141250</v>
      </c>
      <c r="D8738">
        <v>140</v>
      </c>
    </row>
    <row r="8739" spans="1:4" x14ac:dyDescent="0.25">
      <c r="A8739" t="str">
        <f>T("   392610")</f>
        <v xml:space="preserve">   392610</v>
      </c>
      <c r="B8739" t="str">
        <f>T("   Articles de bureau et articles scolaires, en matières plastiques, n.d.a.")</f>
        <v xml:space="preserve">   Articles de bureau et articles scolaires, en matières plastiques, n.d.a.</v>
      </c>
      <c r="C8739">
        <v>20811585</v>
      </c>
      <c r="D8739">
        <v>31607</v>
      </c>
    </row>
    <row r="8740" spans="1:4" x14ac:dyDescent="0.25">
      <c r="A8740" t="str">
        <f>T("   401220")</f>
        <v xml:space="preserve">   401220</v>
      </c>
      <c r="B8740" t="str">
        <f>T("   Pneumatiques usagés, en caoutchouc")</f>
        <v xml:space="preserve">   Pneumatiques usagés, en caoutchouc</v>
      </c>
      <c r="C8740">
        <v>26521776</v>
      </c>
      <c r="D8740">
        <v>96273</v>
      </c>
    </row>
    <row r="8741" spans="1:4" x14ac:dyDescent="0.25">
      <c r="A8741" t="str">
        <f>T("   401310")</f>
        <v xml:space="preserve">   401310</v>
      </c>
      <c r="B8741"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8741">
        <v>346347</v>
      </c>
      <c r="D8741">
        <v>990</v>
      </c>
    </row>
    <row r="8742" spans="1:4" x14ac:dyDescent="0.25">
      <c r="A8742" t="str">
        <f>T("   440890")</f>
        <v xml:space="preserve">   440890</v>
      </c>
      <c r="B8742" t="s">
        <v>167</v>
      </c>
      <c r="C8742">
        <v>12777347</v>
      </c>
      <c r="D8742">
        <v>52000</v>
      </c>
    </row>
    <row r="8743" spans="1:4" x14ac:dyDescent="0.25">
      <c r="A8743" t="str">
        <f>T("   441299")</f>
        <v xml:space="preserve">   441299</v>
      </c>
      <c r="B8743" t="s">
        <v>180</v>
      </c>
      <c r="C8743">
        <v>13126798</v>
      </c>
      <c r="D8743">
        <v>51520</v>
      </c>
    </row>
    <row r="8744" spans="1:4" x14ac:dyDescent="0.25">
      <c r="A8744" t="str">
        <f>T("   441810")</f>
        <v xml:space="preserve">   441810</v>
      </c>
      <c r="B8744" t="str">
        <f>T("   Fenêtres, portes-fenêtres et leurs cadres et chambranles, en bois")</f>
        <v xml:space="preserve">   Fenêtres, portes-fenêtres et leurs cadres et chambranles, en bois</v>
      </c>
      <c r="C8744">
        <v>1592015</v>
      </c>
      <c r="D8744">
        <v>2925</v>
      </c>
    </row>
    <row r="8745" spans="1:4" x14ac:dyDescent="0.25">
      <c r="A8745" t="str">
        <f>T("   480100")</f>
        <v xml:space="preserve">   480100</v>
      </c>
      <c r="B8745"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8745">
        <v>31862647</v>
      </c>
      <c r="D8745">
        <v>88114</v>
      </c>
    </row>
    <row r="8746" spans="1:4" x14ac:dyDescent="0.25">
      <c r="A8746" t="str">
        <f>T("   480255")</f>
        <v xml:space="preserve">   480255</v>
      </c>
      <c r="B8746" t="s">
        <v>187</v>
      </c>
      <c r="C8746">
        <v>181404249</v>
      </c>
      <c r="D8746">
        <v>379469</v>
      </c>
    </row>
    <row r="8747" spans="1:4" x14ac:dyDescent="0.25">
      <c r="A8747" t="str">
        <f>T("   480256")</f>
        <v xml:space="preserve">   480256</v>
      </c>
      <c r="B8747" t="s">
        <v>188</v>
      </c>
      <c r="C8747">
        <v>205670461</v>
      </c>
      <c r="D8747">
        <v>468031</v>
      </c>
    </row>
    <row r="8748" spans="1:4" x14ac:dyDescent="0.25">
      <c r="A8748" t="str">
        <f>T("   480257")</f>
        <v xml:space="preserve">   480257</v>
      </c>
      <c r="B8748" t="s">
        <v>189</v>
      </c>
      <c r="C8748">
        <v>835142209</v>
      </c>
      <c r="D8748">
        <v>1740051.8</v>
      </c>
    </row>
    <row r="8749" spans="1:4" x14ac:dyDescent="0.25">
      <c r="A8749" t="str">
        <f>T("   480258")</f>
        <v xml:space="preserve">   480258</v>
      </c>
      <c r="B8749" t="s">
        <v>190</v>
      </c>
      <c r="C8749">
        <v>169466032</v>
      </c>
      <c r="D8749">
        <v>330450.56</v>
      </c>
    </row>
    <row r="8750" spans="1:4" x14ac:dyDescent="0.25">
      <c r="A8750" t="str">
        <f>T("   480459")</f>
        <v xml:space="preserve">   480459</v>
      </c>
      <c r="B8750" t="s">
        <v>196</v>
      </c>
      <c r="C8750">
        <v>11258925</v>
      </c>
      <c r="D8750">
        <v>29328</v>
      </c>
    </row>
    <row r="8751" spans="1:4" x14ac:dyDescent="0.25">
      <c r="A8751" t="str">
        <f>T("   480519")</f>
        <v xml:space="preserve">   480519</v>
      </c>
      <c r="B8751" t="s">
        <v>197</v>
      </c>
      <c r="C8751">
        <v>12502968</v>
      </c>
      <c r="D8751">
        <v>41806</v>
      </c>
    </row>
    <row r="8752" spans="1:4" x14ac:dyDescent="0.25">
      <c r="A8752" t="str">
        <f>T("   480593")</f>
        <v xml:space="preserve">   480593</v>
      </c>
      <c r="B8752" t="str">
        <f>T("   PAPIERS ET CARTONS, NON-COUCHÉS NI ENDUITS, EN ROULEAUX D'UNE LARGEUR &gt; 36 CM OU EN FEUILLES DE FORME CARRÉE OU RECTANGULAIRE DONT AU MOINS UN CÔTÉ &gt; 36 CM ET L'AUTRE &gt; 15 CM À L'ÉTAT NON-PLIÉ, D'UN POIDS &gt;= 225 G/M², N.D.A.")</f>
        <v xml:space="preserve">   PAPIERS ET CARTONS, NON-COUCHÉS NI ENDUITS, EN ROULEAUX D'UNE LARGEUR &gt; 36 CM OU EN FEUILLES DE FORME CARRÉE OU RECTANGULAIRE DONT AU MOINS UN CÔTÉ &gt; 36 CM ET L'AUTRE &gt; 15 CM À L'ÉTAT NON-PLIÉ, D'UN POIDS &gt;= 225 G/M², N.D.A.</v>
      </c>
      <c r="C8752">
        <v>98030251</v>
      </c>
      <c r="D8752">
        <v>318982</v>
      </c>
    </row>
    <row r="8753" spans="1:4" x14ac:dyDescent="0.25">
      <c r="A8753" t="str">
        <f>T("   480920")</f>
        <v xml:space="preserve">   480920</v>
      </c>
      <c r="B8753"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8753">
        <v>35483322</v>
      </c>
      <c r="D8753">
        <v>42966</v>
      </c>
    </row>
    <row r="8754" spans="1:4" x14ac:dyDescent="0.25">
      <c r="A8754" t="str">
        <f>T("   481029")</f>
        <v xml:space="preserve">   481029</v>
      </c>
      <c r="B8754" t="s">
        <v>204</v>
      </c>
      <c r="C8754">
        <v>235664317</v>
      </c>
      <c r="D8754">
        <v>498268.2</v>
      </c>
    </row>
    <row r="8755" spans="1:4" x14ac:dyDescent="0.25">
      <c r="A8755" t="str">
        <f>T("   481092")</f>
        <v xml:space="preserve">   481092</v>
      </c>
      <c r="B8755" t="s">
        <v>207</v>
      </c>
      <c r="C8755">
        <v>120951083</v>
      </c>
      <c r="D8755">
        <v>343986.75</v>
      </c>
    </row>
    <row r="8756" spans="1:4" x14ac:dyDescent="0.25">
      <c r="A8756" t="str">
        <f>T("   481099")</f>
        <v xml:space="preserve">   481099</v>
      </c>
      <c r="B8756" t="s">
        <v>208</v>
      </c>
      <c r="C8756">
        <v>91587528</v>
      </c>
      <c r="D8756">
        <v>158346</v>
      </c>
    </row>
    <row r="8757" spans="1:4" x14ac:dyDescent="0.25">
      <c r="A8757" t="str">
        <f>T("   481190")</f>
        <v xml:space="preserve">   481190</v>
      </c>
      <c r="B8757" t="s">
        <v>210</v>
      </c>
      <c r="C8757">
        <v>1918406</v>
      </c>
      <c r="D8757">
        <v>2983</v>
      </c>
    </row>
    <row r="8758" spans="1:4" x14ac:dyDescent="0.25">
      <c r="A8758" t="str">
        <f>T("   481620")</f>
        <v xml:space="preserve">   481620</v>
      </c>
      <c r="B8758" t="s">
        <v>211</v>
      </c>
      <c r="C8758">
        <v>2724041</v>
      </c>
      <c r="D8758">
        <v>4874</v>
      </c>
    </row>
    <row r="8759" spans="1:4" x14ac:dyDescent="0.25">
      <c r="A8759" t="str">
        <f>T("   481710")</f>
        <v xml:space="preserve">   481710</v>
      </c>
      <c r="B8759" t="str">
        <f>T("   Enveloppes, en papier ou en carton")</f>
        <v xml:space="preserve">   Enveloppes, en papier ou en carton</v>
      </c>
      <c r="C8759">
        <v>13147656</v>
      </c>
      <c r="D8759">
        <v>19738</v>
      </c>
    </row>
    <row r="8760" spans="1:4" x14ac:dyDescent="0.25">
      <c r="A8760" t="str">
        <f>T("   481910")</f>
        <v xml:space="preserve">   481910</v>
      </c>
      <c r="B8760" t="str">
        <f>T("   Boîtes et caisses en papier ou en carton ondulé")</f>
        <v xml:space="preserve">   Boîtes et caisses en papier ou en carton ondulé</v>
      </c>
      <c r="C8760">
        <v>16436206</v>
      </c>
      <c r="D8760">
        <v>22368</v>
      </c>
    </row>
    <row r="8761" spans="1:4" x14ac:dyDescent="0.25">
      <c r="A8761" t="str">
        <f>T("   482010")</f>
        <v xml:space="preserve">   482010</v>
      </c>
      <c r="B8761"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8761">
        <v>30225180</v>
      </c>
      <c r="D8761">
        <v>26774</v>
      </c>
    </row>
    <row r="8762" spans="1:4" x14ac:dyDescent="0.25">
      <c r="A8762" t="str">
        <f>T("   482020")</f>
        <v xml:space="preserve">   482020</v>
      </c>
      <c r="B8762" t="str">
        <f>T("   Cahiers pour l'écriture, en papier ou carton")</f>
        <v xml:space="preserve">   Cahiers pour l'écriture, en papier ou carton</v>
      </c>
      <c r="C8762">
        <v>281253353</v>
      </c>
      <c r="D8762">
        <v>510801</v>
      </c>
    </row>
    <row r="8763" spans="1:4" x14ac:dyDescent="0.25">
      <c r="A8763" t="str">
        <f>T("   482030")</f>
        <v xml:space="preserve">   482030</v>
      </c>
      <c r="B8763" t="str">
        <f>T("   Classeurs, reliures (autres que les couvertures pour livres), chemises et couvertures à dossiers, en papier ou en carton")</f>
        <v xml:space="preserve">   Classeurs, reliures (autres que les couvertures pour livres), chemises et couvertures à dossiers, en papier ou en carton</v>
      </c>
      <c r="C8763">
        <v>49753304</v>
      </c>
      <c r="D8763">
        <v>87431</v>
      </c>
    </row>
    <row r="8764" spans="1:4" x14ac:dyDescent="0.25">
      <c r="A8764" t="str">
        <f>T("   482040")</f>
        <v xml:space="preserve">   482040</v>
      </c>
      <c r="B8764" t="str">
        <f>T("   Liasses et carnets manifold, même comportant des feuilles de papier carbone, en papier ou carton")</f>
        <v xml:space="preserve">   Liasses et carnets manifold, même comportant des feuilles de papier carbone, en papier ou carton</v>
      </c>
      <c r="C8764">
        <v>2618848</v>
      </c>
      <c r="D8764">
        <v>1460</v>
      </c>
    </row>
    <row r="8765" spans="1:4" x14ac:dyDescent="0.25">
      <c r="A8765" t="str">
        <f>T("   482390")</f>
        <v xml:space="preserve">   482390</v>
      </c>
      <c r="B8765" t="s">
        <v>216</v>
      </c>
      <c r="C8765">
        <v>14429633</v>
      </c>
      <c r="D8765">
        <v>20082</v>
      </c>
    </row>
    <row r="8766" spans="1:4" x14ac:dyDescent="0.25">
      <c r="A8766" t="str">
        <f>T("   491000")</f>
        <v xml:space="preserve">   491000</v>
      </c>
      <c r="B8766" t="str">
        <f>T("   Calendriers de tous genres, imprimés, y.c. les blocs de calendriers à effeuiller")</f>
        <v xml:space="preserve">   Calendriers de tous genres, imprimés, y.c. les blocs de calendriers à effeuiller</v>
      </c>
      <c r="C8766">
        <v>3292267</v>
      </c>
      <c r="D8766">
        <v>5094</v>
      </c>
    </row>
    <row r="8767" spans="1:4" x14ac:dyDescent="0.25">
      <c r="A8767" t="str">
        <f>T("   491199")</f>
        <v xml:space="preserve">   491199</v>
      </c>
      <c r="B8767" t="str">
        <f>T("   Imprimés, n.d.a.")</f>
        <v xml:space="preserve">   Imprimés, n.d.a.</v>
      </c>
      <c r="C8767">
        <v>479</v>
      </c>
      <c r="D8767">
        <v>1</v>
      </c>
    </row>
    <row r="8768" spans="1:4" x14ac:dyDescent="0.25">
      <c r="A8768" t="str">
        <f>T("   570190")</f>
        <v xml:space="preserve">   570190</v>
      </c>
      <c r="B8768"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8768">
        <v>335545</v>
      </c>
      <c r="D8768">
        <v>1756</v>
      </c>
    </row>
    <row r="8769" spans="1:4" x14ac:dyDescent="0.25">
      <c r="A8769" t="str">
        <f>T("   610910")</f>
        <v xml:space="preserve">   610910</v>
      </c>
      <c r="B8769" t="str">
        <f>T("   T-shirts et maillots de corps, en bonneterie, de coton,")</f>
        <v xml:space="preserve">   T-shirts et maillots de corps, en bonneterie, de coton,</v>
      </c>
      <c r="C8769">
        <v>147295</v>
      </c>
      <c r="D8769">
        <v>194</v>
      </c>
    </row>
    <row r="8770" spans="1:4" x14ac:dyDescent="0.25">
      <c r="A8770" t="str">
        <f>T("   610990")</f>
        <v xml:space="preserve">   610990</v>
      </c>
      <c r="B8770" t="str">
        <f>T("   T-shirts et maillots de corps, en bonneterie, de matières textiles (sauf de coton)")</f>
        <v xml:space="preserve">   T-shirts et maillots de corps, en bonneterie, de matières textiles (sauf de coton)</v>
      </c>
      <c r="C8770">
        <v>188863</v>
      </c>
      <c r="D8770">
        <v>215</v>
      </c>
    </row>
    <row r="8771" spans="1:4" x14ac:dyDescent="0.25">
      <c r="A8771" t="str">
        <f>T("   630510")</f>
        <v xml:space="preserve">   630510</v>
      </c>
      <c r="B8771" t="str">
        <f>T("   Sacs et sachets d'emballage de jute ou d'autres fibres textiles libériennes du n° 5303")</f>
        <v xml:space="preserve">   Sacs et sachets d'emballage de jute ou d'autres fibres textiles libériennes du n° 5303</v>
      </c>
      <c r="C8771">
        <v>2233772</v>
      </c>
      <c r="D8771">
        <v>19331</v>
      </c>
    </row>
    <row r="8772" spans="1:4" x14ac:dyDescent="0.25">
      <c r="A8772" t="str">
        <f>T("   630900")</f>
        <v xml:space="preserve">   630900</v>
      </c>
      <c r="B8772" t="s">
        <v>273</v>
      </c>
      <c r="C8772">
        <v>52285376</v>
      </c>
      <c r="D8772">
        <v>105177</v>
      </c>
    </row>
    <row r="8773" spans="1:4" x14ac:dyDescent="0.25">
      <c r="A8773" t="str">
        <f>T("   650699")</f>
        <v xml:space="preserve">   650699</v>
      </c>
      <c r="B8773" t="str">
        <f>T("   Chapeaux et autres coiffures, même garnis, n.d.a.")</f>
        <v xml:space="preserve">   Chapeaux et autres coiffures, même garnis, n.d.a.</v>
      </c>
      <c r="C8773">
        <v>68892</v>
      </c>
      <c r="D8773">
        <v>91</v>
      </c>
    </row>
    <row r="8774" spans="1:4" x14ac:dyDescent="0.25">
      <c r="A8774" t="str">
        <f>T("   660199")</f>
        <v xml:space="preserve">   660199</v>
      </c>
      <c r="B8774"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8774">
        <v>57608</v>
      </c>
      <c r="D8774">
        <v>76</v>
      </c>
    </row>
    <row r="8775" spans="1:4" x14ac:dyDescent="0.25">
      <c r="A8775" t="str">
        <f>T("   681110")</f>
        <v xml:space="preserve">   681110</v>
      </c>
      <c r="B8775" t="str">
        <f>T("   Plaques ondulées en amiante-ciment, cellulose-ciment ou simil.")</f>
        <v xml:space="preserve">   Plaques ondulées en amiante-ciment, cellulose-ciment ou simil.</v>
      </c>
      <c r="C8775">
        <v>1826238</v>
      </c>
      <c r="D8775">
        <v>13527</v>
      </c>
    </row>
    <row r="8776" spans="1:4" x14ac:dyDescent="0.25">
      <c r="A8776" t="str">
        <f>T("   690790")</f>
        <v xml:space="preserve">   690790</v>
      </c>
      <c r="B8776" t="s">
        <v>306</v>
      </c>
      <c r="C8776">
        <v>14116036</v>
      </c>
      <c r="D8776">
        <v>111410</v>
      </c>
    </row>
    <row r="8777" spans="1:4" x14ac:dyDescent="0.25">
      <c r="A8777" t="str">
        <f>T("   702000")</f>
        <v xml:space="preserve">   702000</v>
      </c>
      <c r="B8777" t="str">
        <f>T("   Ouvrages en verre n.d.a.")</f>
        <v xml:space="preserve">   Ouvrages en verre n.d.a.</v>
      </c>
      <c r="C8777">
        <v>287610</v>
      </c>
      <c r="D8777">
        <v>800</v>
      </c>
    </row>
    <row r="8778" spans="1:4" x14ac:dyDescent="0.25">
      <c r="A8778" t="str">
        <f>T("   721049")</f>
        <v xml:space="preserve">   721049</v>
      </c>
      <c r="B8778"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8778">
        <v>1374620316</v>
      </c>
      <c r="D8778">
        <v>2162333</v>
      </c>
    </row>
    <row r="8779" spans="1:4" x14ac:dyDescent="0.25">
      <c r="A8779" t="str">
        <f>T("   732111")</f>
        <v xml:space="preserve">   732111</v>
      </c>
      <c r="B8779" t="s">
        <v>356</v>
      </c>
      <c r="C8779">
        <v>5727605</v>
      </c>
      <c r="D8779">
        <v>2573</v>
      </c>
    </row>
    <row r="8780" spans="1:4" x14ac:dyDescent="0.25">
      <c r="A8780" t="str">
        <f>T("   732190")</f>
        <v xml:space="preserve">   732190</v>
      </c>
      <c r="B8780" t="str">
        <f>T("   Parties des appareils ménagers chauffants non-électriques du n° 7321, n.d.a.")</f>
        <v xml:space="preserve">   Parties des appareils ménagers chauffants non-électriques du n° 7321, n.d.a.</v>
      </c>
      <c r="C8780">
        <v>6453</v>
      </c>
      <c r="D8780">
        <v>89</v>
      </c>
    </row>
    <row r="8781" spans="1:4" x14ac:dyDescent="0.25">
      <c r="A8781" t="str">
        <f>T("   732394")</f>
        <v xml:space="preserve">   732394</v>
      </c>
      <c r="B8781" t="s">
        <v>362</v>
      </c>
      <c r="C8781">
        <v>280420</v>
      </c>
      <c r="D8781">
        <v>1463</v>
      </c>
    </row>
    <row r="8782" spans="1:4" x14ac:dyDescent="0.25">
      <c r="A8782" t="str">
        <f>T("   761519")</f>
        <v xml:space="preserve">   761519</v>
      </c>
      <c r="B8782" t="s">
        <v>373</v>
      </c>
      <c r="C8782">
        <v>95870</v>
      </c>
      <c r="D8782">
        <v>900</v>
      </c>
    </row>
    <row r="8783" spans="1:4" x14ac:dyDescent="0.25">
      <c r="A8783" t="str">
        <f>T("   821300")</f>
        <v xml:space="preserve">   821300</v>
      </c>
      <c r="B8783"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8783">
        <v>1527152</v>
      </c>
      <c r="D8783">
        <v>1600</v>
      </c>
    </row>
    <row r="8784" spans="1:4" x14ac:dyDescent="0.25">
      <c r="A8784" t="str">
        <f>T("   821410")</f>
        <v xml:space="preserve">   821410</v>
      </c>
      <c r="B8784" t="str">
        <f>T("   Coupe-papier, ouvre-lettres, grattoirs, taille-crayons et leurs lames, en métaux communs (sauf machines, appareils et instruments à usage similaire du chapitre 84)")</f>
        <v xml:space="preserve">   Coupe-papier, ouvre-lettres, grattoirs, taille-crayons et leurs lames, en métaux communs (sauf machines, appareils et instruments à usage similaire du chapitre 84)</v>
      </c>
      <c r="C8784">
        <v>153991</v>
      </c>
      <c r="D8784">
        <v>160</v>
      </c>
    </row>
    <row r="8785" spans="1:4" x14ac:dyDescent="0.25">
      <c r="A8785" t="str">
        <f>T("   830140")</f>
        <v xml:space="preserve">   830140</v>
      </c>
      <c r="B8785"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8785">
        <v>22050</v>
      </c>
      <c r="D8785">
        <v>30</v>
      </c>
    </row>
    <row r="8786" spans="1:4" x14ac:dyDescent="0.25">
      <c r="A8786" t="str">
        <f>T("   830242")</f>
        <v xml:space="preserve">   830242</v>
      </c>
      <c r="B8786" t="str">
        <f>T("   GARNITURES, FERRURES ET SIMIL., POUR MEUBLES, EN MÉTAUX COMMUNS (SAUF SERRURES ET VERROUS DE S¹RETÉ À CLEF ET SAUF CHARNIÈRES ET ROULETTES)")</f>
        <v xml:space="preserve">   GARNITURES, FERRURES ET SIMIL., POUR MEUBLES, EN MÉTAUX COMMUNS (SAUF SERRURES ET VERROUS DE S¹RETÉ À CLEF ET SAUF CHARNIÈRES ET ROULETTES)</v>
      </c>
      <c r="C8786">
        <v>5753</v>
      </c>
      <c r="D8786">
        <v>10</v>
      </c>
    </row>
    <row r="8787" spans="1:4" x14ac:dyDescent="0.25">
      <c r="A8787" t="str">
        <f>T("   840999")</f>
        <v xml:space="preserve">   840999</v>
      </c>
      <c r="B8787"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8787">
        <v>2413320</v>
      </c>
      <c r="D8787">
        <v>1343</v>
      </c>
    </row>
    <row r="8788" spans="1:4" x14ac:dyDescent="0.25">
      <c r="A8788" t="str">
        <f>T("   841451")</f>
        <v xml:space="preserve">   841451</v>
      </c>
      <c r="B8788"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8788">
        <v>3800853</v>
      </c>
      <c r="D8788">
        <v>1476</v>
      </c>
    </row>
    <row r="8789" spans="1:4" x14ac:dyDescent="0.25">
      <c r="A8789" t="str">
        <f>T("   841459")</f>
        <v xml:space="preserve">   841459</v>
      </c>
      <c r="B8789"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8789">
        <v>50000</v>
      </c>
      <c r="D8789">
        <v>293</v>
      </c>
    </row>
    <row r="8790" spans="1:4" x14ac:dyDescent="0.25">
      <c r="A8790" t="str">
        <f>T("   841510")</f>
        <v xml:space="preserve">   841510</v>
      </c>
      <c r="B8790" t="s">
        <v>400</v>
      </c>
      <c r="C8790">
        <v>220136076</v>
      </c>
      <c r="D8790">
        <v>207483</v>
      </c>
    </row>
    <row r="8791" spans="1:4" x14ac:dyDescent="0.25">
      <c r="A8791" t="str">
        <f>T("   841581")</f>
        <v xml:space="preserve">   841581</v>
      </c>
      <c r="B8791" t="s">
        <v>401</v>
      </c>
      <c r="C8791">
        <v>6035000</v>
      </c>
      <c r="D8791">
        <v>15085</v>
      </c>
    </row>
    <row r="8792" spans="1:4" x14ac:dyDescent="0.25">
      <c r="A8792" t="str">
        <f>T("   841582")</f>
        <v xml:space="preserve">   841582</v>
      </c>
      <c r="B8792" t="s">
        <v>402</v>
      </c>
      <c r="C8792">
        <v>15070554</v>
      </c>
      <c r="D8792">
        <v>9837</v>
      </c>
    </row>
    <row r="8793" spans="1:4" x14ac:dyDescent="0.25">
      <c r="A8793" t="str">
        <f>T("   841590")</f>
        <v xml:space="preserve">   841590</v>
      </c>
      <c r="B8793"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8793">
        <v>7297345</v>
      </c>
      <c r="D8793">
        <v>30192</v>
      </c>
    </row>
    <row r="8794" spans="1:4" x14ac:dyDescent="0.25">
      <c r="A8794" t="str">
        <f>T("   841810")</f>
        <v xml:space="preserve">   841810</v>
      </c>
      <c r="B8794" t="str">
        <f>T("   Réfrigérateurs et congélateurs-conservateurs combinés, avec portes extérieures séparées")</f>
        <v xml:space="preserve">   Réfrigérateurs et congélateurs-conservateurs combinés, avec portes extérieures séparées</v>
      </c>
      <c r="C8794">
        <v>60367490</v>
      </c>
      <c r="D8794">
        <v>31324</v>
      </c>
    </row>
    <row r="8795" spans="1:4" x14ac:dyDescent="0.25">
      <c r="A8795" t="str">
        <f>T("   841821")</f>
        <v xml:space="preserve">   841821</v>
      </c>
      <c r="B8795" t="str">
        <f>T("   Réfrigérateurs ménagers à compression")</f>
        <v xml:space="preserve">   Réfrigérateurs ménagers à compression</v>
      </c>
      <c r="C8795">
        <v>4139667</v>
      </c>
      <c r="D8795">
        <v>2538</v>
      </c>
    </row>
    <row r="8796" spans="1:4" x14ac:dyDescent="0.25">
      <c r="A8796" t="str">
        <f>T("   841822")</f>
        <v xml:space="preserve">   841822</v>
      </c>
      <c r="B8796" t="str">
        <f>T("   Réfrigérateurs ménagers à absorption, électriques")</f>
        <v xml:space="preserve">   Réfrigérateurs ménagers à absorption, électriques</v>
      </c>
      <c r="C8796">
        <v>250221</v>
      </c>
      <c r="D8796">
        <v>500</v>
      </c>
    </row>
    <row r="8797" spans="1:4" x14ac:dyDescent="0.25">
      <c r="A8797" t="str">
        <f>T("   841829")</f>
        <v xml:space="preserve">   841829</v>
      </c>
      <c r="B8797" t="str">
        <f>T("   Réfrigérateurs ménagers à absorption, non-électriques")</f>
        <v xml:space="preserve">   Réfrigérateurs ménagers à absorption, non-électriques</v>
      </c>
      <c r="C8797">
        <v>39411430</v>
      </c>
      <c r="D8797">
        <v>52629</v>
      </c>
    </row>
    <row r="8798" spans="1:4" x14ac:dyDescent="0.25">
      <c r="A8798" t="str">
        <f>T("   841830")</f>
        <v xml:space="preserve">   841830</v>
      </c>
      <c r="B8798" t="str">
        <f>T("   Meubles congélateurs-conservateurs du type coffre, capacité &lt;= 800 l")</f>
        <v xml:space="preserve">   Meubles congélateurs-conservateurs du type coffre, capacité &lt;= 800 l</v>
      </c>
      <c r="C8798">
        <v>15974433</v>
      </c>
      <c r="D8798">
        <v>8487</v>
      </c>
    </row>
    <row r="8799" spans="1:4" x14ac:dyDescent="0.25">
      <c r="A8799" t="str">
        <f>T("   841840")</f>
        <v xml:space="preserve">   841840</v>
      </c>
      <c r="B8799" t="str">
        <f>T("   Meubles congélateurs-conservateurs du type armoire, capacité &lt;= 900 l")</f>
        <v xml:space="preserve">   Meubles congélateurs-conservateurs du type armoire, capacité &lt;= 900 l</v>
      </c>
      <c r="C8799">
        <v>295386</v>
      </c>
      <c r="D8799">
        <v>150</v>
      </c>
    </row>
    <row r="8800" spans="1:4" x14ac:dyDescent="0.25">
      <c r="A8800" t="str">
        <f>T("   841850")</f>
        <v xml:space="preserve">   841850</v>
      </c>
      <c r="B8800" t="s">
        <v>404</v>
      </c>
      <c r="C8800">
        <v>160103</v>
      </c>
      <c r="D8800">
        <v>80</v>
      </c>
    </row>
    <row r="8801" spans="1:4" x14ac:dyDescent="0.25">
      <c r="A8801" t="str">
        <f>T("   841899")</f>
        <v xml:space="preserve">   841899</v>
      </c>
      <c r="B8801"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8801">
        <v>20743</v>
      </c>
      <c r="D8801">
        <v>102</v>
      </c>
    </row>
    <row r="8802" spans="1:4" x14ac:dyDescent="0.25">
      <c r="A8802" t="str">
        <f>T("   841989")</f>
        <v xml:space="preserve">   841989</v>
      </c>
      <c r="B8802" t="s">
        <v>405</v>
      </c>
      <c r="C8802">
        <v>75000</v>
      </c>
      <c r="D8802">
        <v>293</v>
      </c>
    </row>
    <row r="8803" spans="1:4" x14ac:dyDescent="0.25">
      <c r="A8803" t="str">
        <f>T("   844230")</f>
        <v xml:space="preserve">   844230</v>
      </c>
      <c r="B8803" t="s">
        <v>419</v>
      </c>
      <c r="C8803">
        <v>6394153</v>
      </c>
      <c r="D8803">
        <v>11800</v>
      </c>
    </row>
    <row r="8804" spans="1:4" x14ac:dyDescent="0.25">
      <c r="A8804" t="str">
        <f>T("   844390")</f>
        <v xml:space="preserve">   844390</v>
      </c>
      <c r="B8804" t="str">
        <f>T("   Parties de machines et appareils à imprimer et de leur machines et appareils auxiliaires, n.d.a.")</f>
        <v xml:space="preserve">   Parties de machines et appareils à imprimer et de leur machines et appareils auxiliaires, n.d.a.</v>
      </c>
      <c r="C8804">
        <v>1934921</v>
      </c>
      <c r="D8804">
        <v>238</v>
      </c>
    </row>
    <row r="8805" spans="1:4" x14ac:dyDescent="0.25">
      <c r="A8805" t="str">
        <f>T("   845011")</f>
        <v xml:space="preserve">   845011</v>
      </c>
      <c r="B8805" t="str">
        <f>T("   Machines à laver le linge entièrement automatiques, d'une capacité unitaire exprimée en poids de linge sec &lt;= 6 kg")</f>
        <v xml:space="preserve">   Machines à laver le linge entièrement automatiques, d'une capacité unitaire exprimée en poids de linge sec &lt;= 6 kg</v>
      </c>
      <c r="C8805">
        <v>1179862</v>
      </c>
      <c r="D8805">
        <v>574</v>
      </c>
    </row>
    <row r="8806" spans="1:4" x14ac:dyDescent="0.25">
      <c r="A8806" t="str">
        <f>T("   845019")</f>
        <v xml:space="preserve">   845019</v>
      </c>
      <c r="B8806"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8806">
        <v>241740</v>
      </c>
      <c r="D8806">
        <v>1105</v>
      </c>
    </row>
    <row r="8807" spans="1:4" x14ac:dyDescent="0.25">
      <c r="A8807" t="str">
        <f>T("   847010")</f>
        <v xml:space="preserve">   847010</v>
      </c>
      <c r="B8807" t="s">
        <v>433</v>
      </c>
      <c r="C8807">
        <v>886106</v>
      </c>
      <c r="D8807">
        <v>870</v>
      </c>
    </row>
    <row r="8808" spans="1:4" x14ac:dyDescent="0.25">
      <c r="A8808" t="str">
        <f>T("   847180")</f>
        <v xml:space="preserve">   847180</v>
      </c>
      <c r="B8808"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8808">
        <v>190884</v>
      </c>
      <c r="D8808">
        <v>800</v>
      </c>
    </row>
    <row r="8809" spans="1:4" x14ac:dyDescent="0.25">
      <c r="A8809" t="str">
        <f>T("   847190")</f>
        <v xml:space="preserve">   847190</v>
      </c>
      <c r="B8809"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809">
        <v>485350</v>
      </c>
      <c r="D8809">
        <v>4</v>
      </c>
    </row>
    <row r="8810" spans="1:4" x14ac:dyDescent="0.25">
      <c r="A8810" t="str">
        <f>T("   847290")</f>
        <v xml:space="preserve">   847290</v>
      </c>
      <c r="B8810" t="str">
        <f>T("   Machines et appareils de bureau, n.d.a.")</f>
        <v xml:space="preserve">   Machines et appareils de bureau, n.d.a.</v>
      </c>
      <c r="C8810">
        <v>1120892</v>
      </c>
      <c r="D8810">
        <v>437</v>
      </c>
    </row>
    <row r="8811" spans="1:4" x14ac:dyDescent="0.25">
      <c r="A8811" t="str">
        <f>T("   847330")</f>
        <v xml:space="preserve">   847330</v>
      </c>
      <c r="B8811" t="str">
        <f>T("   Parties et accessoires pour machines automatiques de traitement de l'information ou pour autres machines du n° 8471, n.d.a.")</f>
        <v xml:space="preserve">   Parties et accessoires pour machines automatiques de traitement de l'information ou pour autres machines du n° 8471, n.d.a.</v>
      </c>
      <c r="C8811">
        <v>13735995</v>
      </c>
      <c r="D8811">
        <v>1125</v>
      </c>
    </row>
    <row r="8812" spans="1:4" x14ac:dyDescent="0.25">
      <c r="A8812" t="str">
        <f>T("   850431")</f>
        <v xml:space="preserve">   850431</v>
      </c>
      <c r="B8812" t="str">
        <f>T("   Transformateurs à sec, puissance &lt;= 1 kVA")</f>
        <v xml:space="preserve">   Transformateurs à sec, puissance &lt;= 1 kVA</v>
      </c>
      <c r="C8812">
        <v>125590</v>
      </c>
      <c r="D8812">
        <v>1</v>
      </c>
    </row>
    <row r="8813" spans="1:4" x14ac:dyDescent="0.25">
      <c r="A8813" t="str">
        <f>T("   850680")</f>
        <v xml:space="preserve">   850680</v>
      </c>
      <c r="B8813"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8813">
        <v>2438933</v>
      </c>
      <c r="D8813">
        <v>9840</v>
      </c>
    </row>
    <row r="8814" spans="1:4" x14ac:dyDescent="0.25">
      <c r="A8814" t="str">
        <f>T("   850940")</f>
        <v xml:space="preserve">   850940</v>
      </c>
      <c r="B8814"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8814">
        <v>799023</v>
      </c>
      <c r="D8814">
        <v>177</v>
      </c>
    </row>
    <row r="8815" spans="1:4" x14ac:dyDescent="0.25">
      <c r="A8815" t="str">
        <f>T("   851420")</f>
        <v xml:space="preserve">   851420</v>
      </c>
      <c r="B8815" t="str">
        <f>T("   Fours industriels ou de laboratoires fonctionnant par induction ou par pertes diélectriques")</f>
        <v xml:space="preserve">   Fours industriels ou de laboratoires fonctionnant par induction ou par pertes diélectriques</v>
      </c>
      <c r="C8815">
        <v>423266</v>
      </c>
      <c r="D8815">
        <v>366</v>
      </c>
    </row>
    <row r="8816" spans="1:4" x14ac:dyDescent="0.25">
      <c r="A8816" t="str">
        <f>T("   851610")</f>
        <v xml:space="preserve">   851610</v>
      </c>
      <c r="B8816" t="str">
        <f>T("   Chauffe-eau et thermoplongeurs électriques")</f>
        <v xml:space="preserve">   Chauffe-eau et thermoplongeurs électriques</v>
      </c>
      <c r="C8816">
        <v>1027802</v>
      </c>
      <c r="D8816">
        <v>598</v>
      </c>
    </row>
    <row r="8817" spans="1:4" x14ac:dyDescent="0.25">
      <c r="A8817" t="str">
        <f>T("   851640")</f>
        <v xml:space="preserve">   851640</v>
      </c>
      <c r="B8817" t="str">
        <f>T("   Fers à repasser électriques")</f>
        <v xml:space="preserve">   Fers à repasser électriques</v>
      </c>
      <c r="C8817">
        <v>1883410</v>
      </c>
      <c r="D8817">
        <v>767</v>
      </c>
    </row>
    <row r="8818" spans="1:4" x14ac:dyDescent="0.25">
      <c r="A8818" t="str">
        <f>T("   851650")</f>
        <v xml:space="preserve">   851650</v>
      </c>
      <c r="B8818" t="str">
        <f>T("   Fours à micro-ondes")</f>
        <v xml:space="preserve">   Fours à micro-ondes</v>
      </c>
      <c r="C8818">
        <v>1149520</v>
      </c>
      <c r="D8818">
        <v>588</v>
      </c>
    </row>
    <row r="8819" spans="1:4" x14ac:dyDescent="0.25">
      <c r="A8819" t="str">
        <f>T("   851672")</f>
        <v xml:space="preserve">   851672</v>
      </c>
      <c r="B8819" t="str">
        <f>T("   Grille-pain électriques, pour usages domestiques")</f>
        <v xml:space="preserve">   Grille-pain électriques, pour usages domestiques</v>
      </c>
      <c r="C8819">
        <v>140929</v>
      </c>
      <c r="D8819">
        <v>122</v>
      </c>
    </row>
    <row r="8820" spans="1:4" x14ac:dyDescent="0.25">
      <c r="A8820" t="str">
        <f>T("   851711")</f>
        <v xml:space="preserve">   851711</v>
      </c>
      <c r="B8820" t="str">
        <f>T("   Postes téléphoniques d'usagers pour la téléphonie par fil à combinés sans fil")</f>
        <v xml:space="preserve">   Postes téléphoniques d'usagers pour la téléphonie par fil à combinés sans fil</v>
      </c>
      <c r="C8820">
        <v>303429</v>
      </c>
      <c r="D8820">
        <v>17</v>
      </c>
    </row>
    <row r="8821" spans="1:4" x14ac:dyDescent="0.25">
      <c r="A8821" t="str">
        <f>T("   851721")</f>
        <v xml:space="preserve">   851721</v>
      </c>
      <c r="B8821" t="str">
        <f>T("   Télécopieurs pour la téléphonie par fil")</f>
        <v xml:space="preserve">   Télécopieurs pour la téléphonie par fil</v>
      </c>
      <c r="C8821">
        <v>181367</v>
      </c>
      <c r="D8821">
        <v>50</v>
      </c>
    </row>
    <row r="8822" spans="1:4" x14ac:dyDescent="0.25">
      <c r="A8822" t="str">
        <f>T("   851730")</f>
        <v xml:space="preserve">   851730</v>
      </c>
      <c r="B8822" t="str">
        <f>T("   Appareils de commutation pour la téléphonie ou la télégraphie par fil")</f>
        <v xml:space="preserve">   Appareils de commutation pour la téléphonie ou la télégraphie par fil</v>
      </c>
      <c r="C8822">
        <v>500000</v>
      </c>
      <c r="D8822">
        <v>500</v>
      </c>
    </row>
    <row r="8823" spans="1:4" x14ac:dyDescent="0.25">
      <c r="A8823" t="str">
        <f>T("   851829")</f>
        <v xml:space="preserve">   851829</v>
      </c>
      <c r="B8823" t="str">
        <f>T("   Haut-parleurs sans enceinte")</f>
        <v xml:space="preserve">   Haut-parleurs sans enceinte</v>
      </c>
      <c r="C8823">
        <v>8336856</v>
      </c>
      <c r="D8823">
        <v>9789</v>
      </c>
    </row>
    <row r="8824" spans="1:4" x14ac:dyDescent="0.25">
      <c r="A8824" t="str">
        <f>T("   851999")</f>
        <v xml:space="preserve">   851999</v>
      </c>
      <c r="B8824"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8824">
        <v>2072709</v>
      </c>
      <c r="D8824">
        <v>744</v>
      </c>
    </row>
    <row r="8825" spans="1:4" x14ac:dyDescent="0.25">
      <c r="A8825" t="str">
        <f>T("   852039")</f>
        <v xml:space="preserve">   852039</v>
      </c>
      <c r="B8825" t="str">
        <f>T("   Appareils d'enregistrement et de reproduction du son, sur bandes magnétiques (autres que numériques, machines à dicter ne pouvant fonctionner qu'avec source d'énergie extérieure, répondeurs téléphoniques et enregistreurs à cassettes)")</f>
        <v xml:space="preserve">   Appareils d'enregistrement et de reproduction du son, sur bandes magnétiques (autres que numériques, machines à dicter ne pouvant fonctionner qu'avec source d'énergie extérieure, répondeurs téléphoniques et enregistreurs à cassettes)</v>
      </c>
      <c r="C8825">
        <v>2200000</v>
      </c>
      <c r="D8825">
        <v>3307</v>
      </c>
    </row>
    <row r="8826" spans="1:4" x14ac:dyDescent="0.25">
      <c r="A8826" t="str">
        <f>T("   852090")</f>
        <v xml:space="preserve">   852090</v>
      </c>
      <c r="B8826"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8826">
        <v>350000</v>
      </c>
      <c r="D8826">
        <v>293</v>
      </c>
    </row>
    <row r="8827" spans="1:4" x14ac:dyDescent="0.25">
      <c r="A8827" t="str">
        <f>T("   852190")</f>
        <v xml:space="preserve">   852190</v>
      </c>
      <c r="B8827" t="s">
        <v>457</v>
      </c>
      <c r="C8827">
        <v>20723312</v>
      </c>
      <c r="D8827">
        <v>17978</v>
      </c>
    </row>
    <row r="8828" spans="1:4" x14ac:dyDescent="0.25">
      <c r="A8828" t="str">
        <f>T("   852713")</f>
        <v xml:space="preserve">   852713</v>
      </c>
      <c r="B8828"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8828">
        <v>1891995</v>
      </c>
      <c r="D8828">
        <v>571</v>
      </c>
    </row>
    <row r="8829" spans="1:4" x14ac:dyDescent="0.25">
      <c r="A8829" t="str">
        <f>T("   852719")</f>
        <v xml:space="preserve">   852719</v>
      </c>
      <c r="B8829"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8829">
        <v>7462902</v>
      </c>
      <c r="D8829">
        <v>5761</v>
      </c>
    </row>
    <row r="8830" spans="1:4" x14ac:dyDescent="0.25">
      <c r="A8830" t="str">
        <f>T("   852812")</f>
        <v xml:space="preserve">   852812</v>
      </c>
      <c r="B8830"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830">
        <v>106203040</v>
      </c>
      <c r="D8830">
        <v>130213</v>
      </c>
    </row>
    <row r="8831" spans="1:4" x14ac:dyDescent="0.25">
      <c r="A8831" t="str">
        <f>T("   852910")</f>
        <v xml:space="preserve">   852910</v>
      </c>
      <c r="B8831"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8831">
        <v>8065064</v>
      </c>
      <c r="D8831">
        <v>19200</v>
      </c>
    </row>
    <row r="8832" spans="1:4" x14ac:dyDescent="0.25">
      <c r="A8832" t="str">
        <f>T("   853590")</f>
        <v xml:space="preserve">   853590</v>
      </c>
      <c r="B8832" t="s">
        <v>466</v>
      </c>
      <c r="C8832">
        <v>239675</v>
      </c>
      <c r="D8832">
        <v>1256</v>
      </c>
    </row>
    <row r="8833" spans="1:4" x14ac:dyDescent="0.25">
      <c r="A8833" t="str">
        <f>T("   853650")</f>
        <v xml:space="preserve">   853650</v>
      </c>
      <c r="B8833" t="str">
        <f>T("   Interrupteurs, sectionneurs et commutateurs, pour une tension &lt;= 1.000 V (autres que relais et disjoncteurs)")</f>
        <v xml:space="preserve">   Interrupteurs, sectionneurs et commutateurs, pour une tension &lt;= 1.000 V (autres que relais et disjoncteurs)</v>
      </c>
      <c r="C8833">
        <v>25717</v>
      </c>
      <c r="D8833">
        <v>26</v>
      </c>
    </row>
    <row r="8834" spans="1:4" x14ac:dyDescent="0.25">
      <c r="A8834" t="str">
        <f>T("   853669")</f>
        <v xml:space="preserve">   853669</v>
      </c>
      <c r="B8834" t="str">
        <f>T("   Fiches et prises de courant, pour une tension &lt;= 1.000 V (sauf douilles pour lampes)")</f>
        <v xml:space="preserve">   Fiches et prises de courant, pour une tension &lt;= 1.000 V (sauf douilles pour lampes)</v>
      </c>
      <c r="C8834">
        <v>1499728</v>
      </c>
      <c r="D8834">
        <v>500</v>
      </c>
    </row>
    <row r="8835" spans="1:4" x14ac:dyDescent="0.25">
      <c r="A8835" t="str">
        <f>T("   900911")</f>
        <v xml:space="preserve">   900911</v>
      </c>
      <c r="B8835"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8835">
        <v>1250000</v>
      </c>
      <c r="D8835">
        <v>1794</v>
      </c>
    </row>
    <row r="8836" spans="1:4" x14ac:dyDescent="0.25">
      <c r="A8836" t="str">
        <f>T("   901720")</f>
        <v xml:space="preserve">   901720</v>
      </c>
      <c r="B8836" t="str">
        <f>T("   Instruments de dessin, de traçage et de calcul (sauf tables et machines à dessiner ainsi que calculatrices)")</f>
        <v xml:space="preserve">   Instruments de dessin, de traçage et de calcul (sauf tables et machines à dessiner ainsi que calculatrices)</v>
      </c>
      <c r="C8836">
        <v>56404112</v>
      </c>
      <c r="D8836">
        <v>56661</v>
      </c>
    </row>
    <row r="8837" spans="1:4" x14ac:dyDescent="0.25">
      <c r="A8837" t="str">
        <f>T("   901780")</f>
        <v xml:space="preserve">   901780</v>
      </c>
      <c r="B8837" t="str">
        <f>T("   Instruments de mesure de longueurs, pour emploi à la main, n.d.a.")</f>
        <v xml:space="preserve">   Instruments de mesure de longueurs, pour emploi à la main, n.d.a.</v>
      </c>
      <c r="C8837">
        <v>876861</v>
      </c>
      <c r="D8837">
        <v>1272</v>
      </c>
    </row>
    <row r="8838" spans="1:4" x14ac:dyDescent="0.25">
      <c r="A8838" t="str">
        <f>T("   903289")</f>
        <v xml:space="preserve">   903289</v>
      </c>
      <c r="B8838" t="s">
        <v>501</v>
      </c>
      <c r="C8838">
        <v>18773858</v>
      </c>
      <c r="D8838">
        <v>14400</v>
      </c>
    </row>
    <row r="8839" spans="1:4" x14ac:dyDescent="0.25">
      <c r="A8839" t="str">
        <f>T("   940330")</f>
        <v xml:space="preserve">   940330</v>
      </c>
      <c r="B8839" t="str">
        <f>T("   Meubles de bureau en bois (sauf sièges)")</f>
        <v xml:space="preserve">   Meubles de bureau en bois (sauf sièges)</v>
      </c>
      <c r="C8839">
        <v>20825360</v>
      </c>
      <c r="D8839">
        <v>20860</v>
      </c>
    </row>
    <row r="8840" spans="1:4" x14ac:dyDescent="0.25">
      <c r="A8840" t="str">
        <f>T("   940360")</f>
        <v xml:space="preserve">   940360</v>
      </c>
      <c r="B8840" t="str">
        <f>T("   Meubles en bois (autres que pour bureaux, cuisines ou chambres à coucher et autres que sièges)")</f>
        <v xml:space="preserve">   Meubles en bois (autres que pour bureaux, cuisines ou chambres à coucher et autres que sièges)</v>
      </c>
      <c r="C8840">
        <v>1470000</v>
      </c>
      <c r="D8840">
        <v>3013</v>
      </c>
    </row>
    <row r="8841" spans="1:4" x14ac:dyDescent="0.25">
      <c r="A8841" t="str">
        <f>T("   940380")</f>
        <v xml:space="preserve">   940380</v>
      </c>
      <c r="B8841" t="str">
        <f>T("   Meubles en rotin, osier, bambou ou autres matières (sauf métal, bois et matières plastiques)")</f>
        <v xml:space="preserve">   Meubles en rotin, osier, bambou ou autres matières (sauf métal, bois et matières plastiques)</v>
      </c>
      <c r="C8841">
        <v>1784211</v>
      </c>
      <c r="D8841">
        <v>2500</v>
      </c>
    </row>
    <row r="8842" spans="1:4" x14ac:dyDescent="0.25">
      <c r="A8842" t="str">
        <f>T("   940429")</f>
        <v xml:space="preserve">   940429</v>
      </c>
      <c r="B8842"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8842">
        <v>337764</v>
      </c>
      <c r="D8842">
        <v>1000</v>
      </c>
    </row>
    <row r="8843" spans="1:4" x14ac:dyDescent="0.25">
      <c r="A8843" t="str">
        <f>T("   940490")</f>
        <v xml:space="preserve">   940490</v>
      </c>
      <c r="B8843" t="s">
        <v>505</v>
      </c>
      <c r="C8843">
        <v>16888</v>
      </c>
      <c r="D8843">
        <v>250</v>
      </c>
    </row>
    <row r="8844" spans="1:4" x14ac:dyDescent="0.25">
      <c r="A8844" t="str">
        <f>T("   940599")</f>
        <v xml:space="preserve">   940599</v>
      </c>
      <c r="B8844" t="str">
        <f>T("   Parties d'appareils d'éclairage, de lampes-réclames, d'enseignes lumineuses, de plaques indicatrices lumineuses, et simil., n.d.a.")</f>
        <v xml:space="preserve">   Parties d'appareils d'éclairage, de lampes-réclames, d'enseignes lumineuses, de plaques indicatrices lumineuses, et simil., n.d.a.</v>
      </c>
      <c r="C8844">
        <v>225175</v>
      </c>
      <c r="D8844">
        <v>300</v>
      </c>
    </row>
    <row r="8845" spans="1:4" x14ac:dyDescent="0.25">
      <c r="A8845" t="str">
        <f>T("   950390")</f>
        <v xml:space="preserve">   950390</v>
      </c>
      <c r="B8845" t="str">
        <f>T("   Jouets, n.d.a.")</f>
        <v xml:space="preserve">   Jouets, n.d.a.</v>
      </c>
      <c r="C8845">
        <v>501154</v>
      </c>
      <c r="D8845">
        <v>1650</v>
      </c>
    </row>
    <row r="8846" spans="1:4" x14ac:dyDescent="0.25">
      <c r="A8846" t="str">
        <f>T("   960910")</f>
        <v xml:space="preserve">   960910</v>
      </c>
      <c r="B8846" t="str">
        <f>T("   Crayons à gaine")</f>
        <v xml:space="preserve">   Crayons à gaine</v>
      </c>
      <c r="C8846">
        <v>16796098</v>
      </c>
      <c r="D8846">
        <v>17000</v>
      </c>
    </row>
    <row r="8847" spans="1:4" x14ac:dyDescent="0.25">
      <c r="A8847" t="str">
        <f>T("   960990")</f>
        <v xml:space="preserve">   960990</v>
      </c>
      <c r="B8847" t="str">
        <f>T("   Crayons (sauf crayons à gaine), pastels, fusains, craies à écrire ou à dessiner et craies de tailleurs")</f>
        <v xml:space="preserve">   Crayons (sauf crayons à gaine), pastels, fusains, craies à écrire ou à dessiner et craies de tailleurs</v>
      </c>
      <c r="C8847">
        <v>59420346</v>
      </c>
      <c r="D8847">
        <v>196000</v>
      </c>
    </row>
    <row r="8848" spans="1:4" x14ac:dyDescent="0.25">
      <c r="A8848" t="str">
        <f>T("SI")</f>
        <v>SI</v>
      </c>
      <c r="B8848" t="str">
        <f>T("Slovénie")</f>
        <v>Slovénie</v>
      </c>
    </row>
    <row r="8849" spans="1:4" x14ac:dyDescent="0.25">
      <c r="A8849" t="str">
        <f>T("   ZZ_Total_Produit_SH6")</f>
        <v xml:space="preserve">   ZZ_Total_Produit_SH6</v>
      </c>
      <c r="B8849" t="str">
        <f>T("   ZZ_Total_Produit_SH6")</f>
        <v xml:space="preserve">   ZZ_Total_Produit_SH6</v>
      </c>
      <c r="C8849">
        <v>1200000</v>
      </c>
      <c r="D8849">
        <v>850</v>
      </c>
    </row>
    <row r="8850" spans="1:4" x14ac:dyDescent="0.25">
      <c r="A8850" t="str">
        <f>T("   870322")</f>
        <v xml:space="preserve">   870322</v>
      </c>
      <c r="B8850" t="s">
        <v>472</v>
      </c>
      <c r="C8850">
        <v>1200000</v>
      </c>
      <c r="D8850">
        <v>850</v>
      </c>
    </row>
    <row r="8851" spans="1:4" x14ac:dyDescent="0.25">
      <c r="A8851" t="str">
        <f>T("SK")</f>
        <v>SK</v>
      </c>
      <c r="B8851" t="str">
        <f>T("Slovaquie")</f>
        <v>Slovaquie</v>
      </c>
    </row>
    <row r="8852" spans="1:4" x14ac:dyDescent="0.25">
      <c r="A8852" t="str">
        <f>T("   ZZ_Total_Produit_SH6")</f>
        <v xml:space="preserve">   ZZ_Total_Produit_SH6</v>
      </c>
      <c r="B8852" t="str">
        <f>T("   ZZ_Total_Produit_SH6")</f>
        <v xml:space="preserve">   ZZ_Total_Produit_SH6</v>
      </c>
      <c r="C8852">
        <v>72100294</v>
      </c>
      <c r="D8852">
        <v>130601</v>
      </c>
    </row>
    <row r="8853" spans="1:4" x14ac:dyDescent="0.25">
      <c r="A8853" t="str">
        <f>T("   630900")</f>
        <v xml:space="preserve">   630900</v>
      </c>
      <c r="B8853" t="s">
        <v>273</v>
      </c>
      <c r="C8853">
        <v>72100294</v>
      </c>
      <c r="D8853">
        <v>130601</v>
      </c>
    </row>
    <row r="8854" spans="1:4" x14ac:dyDescent="0.25">
      <c r="A8854" t="str">
        <f>T("SN")</f>
        <v>SN</v>
      </c>
      <c r="B8854" t="str">
        <f>T("Sénégal")</f>
        <v>Sénégal</v>
      </c>
    </row>
    <row r="8855" spans="1:4" x14ac:dyDescent="0.25">
      <c r="A8855" t="str">
        <f>T("   ZZ_Total_Produit_SH6")</f>
        <v xml:space="preserve">   ZZ_Total_Produit_SH6</v>
      </c>
      <c r="B8855" t="str">
        <f>T("   ZZ_Total_Produit_SH6")</f>
        <v xml:space="preserve">   ZZ_Total_Produit_SH6</v>
      </c>
      <c r="C8855">
        <v>6767519262</v>
      </c>
      <c r="D8855">
        <v>69870445.5</v>
      </c>
    </row>
    <row r="8856" spans="1:4" x14ac:dyDescent="0.25">
      <c r="A8856" t="str">
        <f>T("   030379")</f>
        <v xml:space="preserve">   030379</v>
      </c>
      <c r="B8856" t="s">
        <v>17</v>
      </c>
      <c r="C8856">
        <v>14301253</v>
      </c>
      <c r="D8856">
        <v>84720</v>
      </c>
    </row>
    <row r="8857" spans="1:4" x14ac:dyDescent="0.25">
      <c r="A8857" t="str">
        <f>T("   030510")</f>
        <v xml:space="preserve">   030510</v>
      </c>
      <c r="B8857" t="str">
        <f>T("   FARINES, POUDRES ET AGGLOMÉRÉS SOUS FORME DE PELLETS DE POISSON, PROPRES À L'ALIMENTATION HUMAINE [01/01/1988-31/12/1991: FARINE DE POISSON PROPRE A L'ALIMENTATION HUMAINE]")</f>
        <v xml:space="preserve">   FARINES, POUDRES ET AGGLOMÉRÉS SOUS FORME DE PELLETS DE POISSON, PROPRES À L'ALIMENTATION HUMAINE [01/01/1988-31/12/1991: FARINE DE POISSON PROPRE A L'ALIMENTATION HUMAINE]</v>
      </c>
      <c r="C8857">
        <v>12644767</v>
      </c>
      <c r="D8857">
        <v>129000</v>
      </c>
    </row>
    <row r="8858" spans="1:4" x14ac:dyDescent="0.25">
      <c r="A8858" t="str">
        <f>T("   030549")</f>
        <v xml:space="preserve">   030549</v>
      </c>
      <c r="B8858" t="str">
        <f>T("   Poissons fumés, y.c. les filets (à l'excl. des harengs et des saumons du Pacifique, de l'Atlantique et du Danube)")</f>
        <v xml:space="preserve">   Poissons fumés, y.c. les filets (à l'excl. des harengs et des saumons du Pacifique, de l'Atlantique et du Danube)</v>
      </c>
      <c r="C8858">
        <v>262336</v>
      </c>
      <c r="D8858">
        <v>523</v>
      </c>
    </row>
    <row r="8859" spans="1:4" x14ac:dyDescent="0.25">
      <c r="A8859" t="str">
        <f>T("   030623")</f>
        <v xml:space="preserve">   030623</v>
      </c>
      <c r="B8859" t="str">
        <f>T("   CREVETTES, MÊME DÉCORTIQUÉES, VIVANTES, FRAÎCHES, RÉFRIGÉRÉES, SÉCHÉES, SALÉES OU EN SAUMURE, Y.C. LES CREVETTES NON-DÉCORTIQUÉES PRÉALABLEMENT CUITES À L'EAU OU À LA VAPEUR")</f>
        <v xml:space="preserve">   CREVETTES, MÊME DÉCORTIQUÉES, VIVANTES, FRAÎCHES, RÉFRIGÉRÉES, SÉCHÉES, SALÉES OU EN SAUMURE, Y.C. LES CREVETTES NON-DÉCORTIQUÉES PRÉALABLEMENT CUITES À L'EAU OU À LA VAPEUR</v>
      </c>
      <c r="C8859">
        <v>78134</v>
      </c>
      <c r="D8859">
        <v>81</v>
      </c>
    </row>
    <row r="8860" spans="1:4" x14ac:dyDescent="0.25">
      <c r="A8860" t="str">
        <f>T("   040221")</f>
        <v xml:space="preserve">   040221</v>
      </c>
      <c r="B8860"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8860">
        <v>51486771</v>
      </c>
      <c r="D8860">
        <v>30370</v>
      </c>
    </row>
    <row r="8861" spans="1:4" x14ac:dyDescent="0.25">
      <c r="A8861" t="str">
        <f>T("   170199")</f>
        <v xml:space="preserve">   170199</v>
      </c>
      <c r="B8861"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8861">
        <v>146280</v>
      </c>
      <c r="D8861">
        <v>1219</v>
      </c>
    </row>
    <row r="8862" spans="1:4" x14ac:dyDescent="0.25">
      <c r="A8862" t="str">
        <f>T("   170490")</f>
        <v xml:space="preserve">   170490</v>
      </c>
      <c r="B8862" t="str">
        <f>T("   Sucreries sans cacao, y.c. le chocolat blanc (à l'excl. des gommes à mâcher)")</f>
        <v xml:space="preserve">   Sucreries sans cacao, y.c. le chocolat blanc (à l'excl. des gommes à mâcher)</v>
      </c>
      <c r="C8862">
        <v>9611417</v>
      </c>
      <c r="D8862">
        <v>17307</v>
      </c>
    </row>
    <row r="8863" spans="1:4" x14ac:dyDescent="0.25">
      <c r="A8863" t="str">
        <f>T("   180690")</f>
        <v xml:space="preserve">   180690</v>
      </c>
      <c r="B8863"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8863">
        <v>17408333</v>
      </c>
      <c r="D8863">
        <v>47840</v>
      </c>
    </row>
    <row r="8864" spans="1:4" x14ac:dyDescent="0.25">
      <c r="A8864" t="str">
        <f>T("   190219")</f>
        <v xml:space="preserve">   190219</v>
      </c>
      <c r="B8864" t="str">
        <f>T("   PÂTES ALIMENTAIRES NON-CUITES NI FARCIES NI AUTREMENT PRÉPARÉES, NE CONTENANT PAS D'OEUFS")</f>
        <v xml:space="preserve">   PÂTES ALIMENTAIRES NON-CUITES NI FARCIES NI AUTREMENT PRÉPARÉES, NE CONTENANT PAS D'OEUFS</v>
      </c>
      <c r="C8864">
        <v>4909259</v>
      </c>
      <c r="D8864">
        <v>15400</v>
      </c>
    </row>
    <row r="8865" spans="1:4" x14ac:dyDescent="0.25">
      <c r="A8865" t="str">
        <f>T("   200590")</f>
        <v xml:space="preserve">   200590</v>
      </c>
      <c r="B8865" t="s">
        <v>53</v>
      </c>
      <c r="C8865">
        <v>425044</v>
      </c>
      <c r="D8865">
        <v>6150</v>
      </c>
    </row>
    <row r="8866" spans="1:4" x14ac:dyDescent="0.25">
      <c r="A8866" t="str">
        <f>T("   200919")</f>
        <v xml:space="preserve">   200919</v>
      </c>
      <c r="B8866"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8866">
        <v>1304029</v>
      </c>
      <c r="D8866">
        <v>3052.5</v>
      </c>
    </row>
    <row r="8867" spans="1:4" x14ac:dyDescent="0.25">
      <c r="A8867" t="str">
        <f>T("   200979")</f>
        <v xml:space="preserve">   200979</v>
      </c>
      <c r="B8867"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8867">
        <v>955090</v>
      </c>
      <c r="D8867">
        <v>3052.5</v>
      </c>
    </row>
    <row r="8868" spans="1:4" x14ac:dyDescent="0.25">
      <c r="A8868" t="str">
        <f>T("   200980")</f>
        <v xml:space="preserve">   200980</v>
      </c>
      <c r="B8868"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8868">
        <v>6354655</v>
      </c>
      <c r="D8868">
        <v>9157.5</v>
      </c>
    </row>
    <row r="8869" spans="1:4" x14ac:dyDescent="0.25">
      <c r="A8869" t="str">
        <f>T("   200990")</f>
        <v xml:space="preserve">   200990</v>
      </c>
      <c r="B8869"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8869">
        <v>1304029</v>
      </c>
      <c r="D8869">
        <v>3052.5</v>
      </c>
    </row>
    <row r="8870" spans="1:4" x14ac:dyDescent="0.25">
      <c r="A8870" t="str">
        <f>T("   210330")</f>
        <v xml:space="preserve">   210330</v>
      </c>
      <c r="B8870" t="str">
        <f>T("   Farine de moutarde et moutarde préparée")</f>
        <v xml:space="preserve">   Farine de moutarde et moutarde préparée</v>
      </c>
      <c r="C8870">
        <v>23974727</v>
      </c>
      <c r="D8870">
        <v>67821</v>
      </c>
    </row>
    <row r="8871" spans="1:4" x14ac:dyDescent="0.25">
      <c r="A8871" t="str">
        <f>T("   210390")</f>
        <v xml:space="preserve">   210390</v>
      </c>
      <c r="B8871"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8871">
        <v>206189</v>
      </c>
      <c r="D8871">
        <v>27</v>
      </c>
    </row>
    <row r="8872" spans="1:4" x14ac:dyDescent="0.25">
      <c r="A8872" t="str">
        <f>T("   210410")</f>
        <v xml:space="preserve">   210410</v>
      </c>
      <c r="B8872" t="str">
        <f>T("   Préparations pour soupes, potages ou bouillons; soupes, potages ou bouillons préparés")</f>
        <v xml:space="preserve">   Préparations pour soupes, potages ou bouillons; soupes, potages ou bouillons préparés</v>
      </c>
      <c r="C8872">
        <v>222765000</v>
      </c>
      <c r="D8872">
        <v>148380</v>
      </c>
    </row>
    <row r="8873" spans="1:4" x14ac:dyDescent="0.25">
      <c r="A8873" t="str">
        <f>T("   210690")</f>
        <v xml:space="preserve">   210690</v>
      </c>
      <c r="B8873" t="str">
        <f>T("   Préparations alimentaires, n.d.a.")</f>
        <v xml:space="preserve">   Préparations alimentaires, n.d.a.</v>
      </c>
      <c r="C8873">
        <v>109891969</v>
      </c>
      <c r="D8873">
        <v>60213</v>
      </c>
    </row>
    <row r="8874" spans="1:4" x14ac:dyDescent="0.25">
      <c r="A8874" t="str">
        <f>T("   220290")</f>
        <v xml:space="preserve">   220290</v>
      </c>
      <c r="B8874" t="str">
        <f>T("   BOISSONS NON-ALCOOLIQUES (À L'EXCL. DES EAUX, DES JUS DE FRUITS OU DE LÉGUMES AINSI QUE DU LAIT)")</f>
        <v xml:space="preserve">   BOISSONS NON-ALCOOLIQUES (À L'EXCL. DES EAUX, DES JUS DE FRUITS OU DE LÉGUMES AINSI QUE DU LAIT)</v>
      </c>
      <c r="C8874">
        <v>255620</v>
      </c>
      <c r="D8874">
        <v>1058</v>
      </c>
    </row>
    <row r="8875" spans="1:4" x14ac:dyDescent="0.25">
      <c r="A8875" t="str">
        <f>T("   220300")</f>
        <v xml:space="preserve">   220300</v>
      </c>
      <c r="B8875" t="str">
        <f>T("   Bières de malt")</f>
        <v xml:space="preserve">   Bières de malt</v>
      </c>
      <c r="C8875">
        <v>34738176</v>
      </c>
      <c r="D8875">
        <v>28860</v>
      </c>
    </row>
    <row r="8876" spans="1:4" x14ac:dyDescent="0.25">
      <c r="A8876" t="str">
        <f>T("   220421")</f>
        <v xml:space="preserve">   220421</v>
      </c>
      <c r="B8876"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8876">
        <v>3000000</v>
      </c>
      <c r="D8876">
        <v>38000</v>
      </c>
    </row>
    <row r="8877" spans="1:4" x14ac:dyDescent="0.25">
      <c r="A8877" t="str">
        <f>T("   220710")</f>
        <v xml:space="preserve">   220710</v>
      </c>
      <c r="B8877" t="str">
        <f>T("   Alcool éthylique non dénaturé d'un titre alcoométrique volumique &gt;= 80% vol")</f>
        <v xml:space="preserve">   Alcool éthylique non dénaturé d'un titre alcoométrique volumique &gt;= 80% vol</v>
      </c>
      <c r="C8877">
        <v>312893</v>
      </c>
      <c r="D8877">
        <v>57</v>
      </c>
    </row>
    <row r="8878" spans="1:4" x14ac:dyDescent="0.25">
      <c r="A8878" t="str">
        <f>T("   230120")</f>
        <v xml:space="preserve">   230120</v>
      </c>
      <c r="B8878" t="str">
        <f>T("   Farines, poudres et agglomérés sous forme de pellets, de poissons ou de crustacés, de mollusques ou d'autres invertébrés aquatiques, impropres à l'alimentation humaine")</f>
        <v xml:space="preserve">   Farines, poudres et agglomérés sous forme de pellets, de poissons ou de crustacés, de mollusques ou d'autres invertébrés aquatiques, impropres à l'alimentation humaine</v>
      </c>
      <c r="C8878">
        <v>116903160</v>
      </c>
      <c r="D8878">
        <v>1262000</v>
      </c>
    </row>
    <row r="8879" spans="1:4" x14ac:dyDescent="0.25">
      <c r="A8879" t="str">
        <f>T("   230500")</f>
        <v xml:space="preserve">   230500</v>
      </c>
      <c r="B8879" t="str">
        <f>T("   Tourteaux et autres résidus solides, même broyés ou agglomérés sous forme de pellets, de l'extraction de l'huile d'arachide")</f>
        <v xml:space="preserve">   Tourteaux et autres résidus solides, même broyés ou agglomérés sous forme de pellets, de l'extraction de l'huile d'arachide</v>
      </c>
      <c r="C8879">
        <v>110887334</v>
      </c>
      <c r="D8879">
        <v>522050</v>
      </c>
    </row>
    <row r="8880" spans="1:4" x14ac:dyDescent="0.25">
      <c r="A8880" t="str">
        <f>T("   240220")</f>
        <v xml:space="preserve">   240220</v>
      </c>
      <c r="B8880" t="str">
        <f>T("   Cigarettes contenant du tabac")</f>
        <v xml:space="preserve">   Cigarettes contenant du tabac</v>
      </c>
      <c r="C8880">
        <v>199202794</v>
      </c>
      <c r="D8880">
        <v>21697.5</v>
      </c>
    </row>
    <row r="8881" spans="1:4" x14ac:dyDescent="0.25">
      <c r="A8881" t="str">
        <f>T("   250100")</f>
        <v xml:space="preserve">   250100</v>
      </c>
      <c r="B8881" t="s">
        <v>65</v>
      </c>
      <c r="C8881">
        <v>1648735104</v>
      </c>
      <c r="D8881">
        <v>29360800</v>
      </c>
    </row>
    <row r="8882" spans="1:4" x14ac:dyDescent="0.25">
      <c r="A8882" t="str">
        <f>T("   252329")</f>
        <v xml:space="preserve">   252329</v>
      </c>
      <c r="B8882" t="str">
        <f>T("   Ciment Portland normal ou modéré (à l'excl. des ciments Portland blancs, même colorés artificiellement)")</f>
        <v xml:space="preserve">   Ciment Portland normal ou modéré (à l'excl. des ciments Portland blancs, même colorés artificiellement)</v>
      </c>
      <c r="C8882">
        <v>1651891044</v>
      </c>
      <c r="D8882">
        <v>35862000</v>
      </c>
    </row>
    <row r="8883" spans="1:4" x14ac:dyDescent="0.25">
      <c r="A8883" t="str">
        <f>T("   252390")</f>
        <v xml:space="preserve">   252390</v>
      </c>
      <c r="B8883" t="str">
        <f>T("   Ciments, même colorés (à l'excl. des ciments Portland et des ciments alumineux)")</f>
        <v xml:space="preserve">   Ciments, même colorés (à l'excl. des ciments Portland et des ciments alumineux)</v>
      </c>
      <c r="C8883">
        <v>11192719</v>
      </c>
      <c r="D8883">
        <v>256000</v>
      </c>
    </row>
    <row r="8884" spans="1:4" x14ac:dyDescent="0.25">
      <c r="A8884" t="str">
        <f>T("   271019")</f>
        <v xml:space="preserve">   271019</v>
      </c>
      <c r="B8884" t="str">
        <f>T("   Huiles moyennes et préparations, de pétrole ou de minéraux bitumineux, n.d.a.")</f>
        <v xml:space="preserve">   Huiles moyennes et préparations, de pétrole ou de minéraux bitumineux, n.d.a.</v>
      </c>
      <c r="C8884">
        <v>1020817820</v>
      </c>
      <c r="D8884">
        <v>656214</v>
      </c>
    </row>
    <row r="8885" spans="1:4" x14ac:dyDescent="0.25">
      <c r="A8885" t="str">
        <f>T("   282890")</f>
        <v xml:space="preserve">   282890</v>
      </c>
      <c r="B8885" t="str">
        <f>T("   Hypochlorites, chlorites et hypobromites (à l'excl. des hypochlorites de calcium)")</f>
        <v xml:space="preserve">   Hypochlorites, chlorites et hypobromites (à l'excl. des hypochlorites de calcium)</v>
      </c>
      <c r="C8885">
        <v>98142771</v>
      </c>
      <c r="D8885">
        <v>219160</v>
      </c>
    </row>
    <row r="8886" spans="1:4" x14ac:dyDescent="0.25">
      <c r="A8886" t="str">
        <f>T("   284700")</f>
        <v xml:space="preserve">   284700</v>
      </c>
      <c r="B8886" t="str">
        <f>T("   Peroxyde d'hydrogène [eau oxygénée], même solidifié avec de l'urée")</f>
        <v xml:space="preserve">   Peroxyde d'hydrogène [eau oxygénée], même solidifié avec de l'urée</v>
      </c>
      <c r="C8886">
        <v>454580</v>
      </c>
      <c r="D8886">
        <v>92</v>
      </c>
    </row>
    <row r="8887" spans="1:4" x14ac:dyDescent="0.25">
      <c r="A8887" t="str">
        <f>T("   300410")</f>
        <v xml:space="preserve">   300410</v>
      </c>
      <c r="B8887" t="s">
        <v>75</v>
      </c>
      <c r="C8887">
        <v>152342118</v>
      </c>
      <c r="D8887">
        <v>12532</v>
      </c>
    </row>
    <row r="8888" spans="1:4" x14ac:dyDescent="0.25">
      <c r="A8888" t="str">
        <f>T("   300450")</f>
        <v xml:space="preserve">   300450</v>
      </c>
      <c r="B8888" t="s">
        <v>78</v>
      </c>
      <c r="C8888">
        <v>45492000</v>
      </c>
      <c r="D8888">
        <v>5337</v>
      </c>
    </row>
    <row r="8889" spans="1:4" x14ac:dyDescent="0.25">
      <c r="A8889" t="str">
        <f>T("   300490")</f>
        <v xml:space="preserve">   300490</v>
      </c>
      <c r="B8889" t="s">
        <v>79</v>
      </c>
      <c r="C8889">
        <v>327781394</v>
      </c>
      <c r="D8889">
        <v>18700</v>
      </c>
    </row>
    <row r="8890" spans="1:4" x14ac:dyDescent="0.25">
      <c r="A8890" t="str">
        <f>T("   330210")</f>
        <v xml:space="preserve">   330210</v>
      </c>
      <c r="B8890"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8890">
        <v>21981980</v>
      </c>
      <c r="D8890">
        <v>38121</v>
      </c>
    </row>
    <row r="8891" spans="1:4" x14ac:dyDescent="0.25">
      <c r="A8891" t="str">
        <f>T("   330290")</f>
        <v xml:space="preserve">   330290</v>
      </c>
      <c r="B8891" t="s">
        <v>96</v>
      </c>
      <c r="C8891">
        <v>3539856</v>
      </c>
      <c r="D8891">
        <v>6109</v>
      </c>
    </row>
    <row r="8892" spans="1:4" x14ac:dyDescent="0.25">
      <c r="A8892" t="str">
        <f>T("   330300")</f>
        <v xml:space="preserve">   330300</v>
      </c>
      <c r="B8892"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8892">
        <v>13933058</v>
      </c>
      <c r="D8892">
        <v>44460</v>
      </c>
    </row>
    <row r="8893" spans="1:4" x14ac:dyDescent="0.25">
      <c r="A8893" t="str">
        <f>T("   330420")</f>
        <v xml:space="preserve">   330420</v>
      </c>
      <c r="B8893" t="str">
        <f>T("   Produits de maquillage pour les yeux")</f>
        <v xml:space="preserve">   Produits de maquillage pour les yeux</v>
      </c>
      <c r="C8893">
        <v>105528</v>
      </c>
      <c r="D8893">
        <v>140</v>
      </c>
    </row>
    <row r="8894" spans="1:4" x14ac:dyDescent="0.25">
      <c r="A8894" t="str">
        <f>T("   330491")</f>
        <v xml:space="preserve">   330491</v>
      </c>
      <c r="B8894"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8894">
        <v>766828</v>
      </c>
      <c r="D8894">
        <v>3710</v>
      </c>
    </row>
    <row r="8895" spans="1:4" x14ac:dyDescent="0.25">
      <c r="A8895" t="str">
        <f>T("   330499")</f>
        <v xml:space="preserve">   330499</v>
      </c>
      <c r="B8895" t="s">
        <v>97</v>
      </c>
      <c r="C8895">
        <v>10456145</v>
      </c>
      <c r="D8895">
        <v>37281</v>
      </c>
    </row>
    <row r="8896" spans="1:4" x14ac:dyDescent="0.25">
      <c r="A8896" t="str">
        <f>T("   330510")</f>
        <v xml:space="preserve">   330510</v>
      </c>
      <c r="B8896" t="str">
        <f>T("   Shampooings")</f>
        <v xml:space="preserve">   Shampooings</v>
      </c>
      <c r="C8896">
        <v>3049937</v>
      </c>
      <c r="D8896">
        <v>4296</v>
      </c>
    </row>
    <row r="8897" spans="1:4" x14ac:dyDescent="0.25">
      <c r="A8897" t="str">
        <f>T("   330590")</f>
        <v xml:space="preserve">   330590</v>
      </c>
      <c r="B8897"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8897">
        <v>8147936</v>
      </c>
      <c r="D8897">
        <v>33355</v>
      </c>
    </row>
    <row r="8898" spans="1:4" x14ac:dyDescent="0.25">
      <c r="A8898" t="str">
        <f>T("   330610")</f>
        <v xml:space="preserve">   330610</v>
      </c>
      <c r="B8898" t="str">
        <f>T("   Dentifrices, préparés, même des types utilisés par les dentistes")</f>
        <v xml:space="preserve">   Dentifrices, préparés, même des types utilisés par les dentistes</v>
      </c>
      <c r="C8898">
        <v>66448327</v>
      </c>
      <c r="D8898">
        <v>47200</v>
      </c>
    </row>
    <row r="8899" spans="1:4" x14ac:dyDescent="0.25">
      <c r="A8899" t="str">
        <f>T("   330690")</f>
        <v xml:space="preserve">   330690</v>
      </c>
      <c r="B8899"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8899">
        <v>1302913</v>
      </c>
      <c r="D8899">
        <v>1744</v>
      </c>
    </row>
    <row r="8900" spans="1:4" x14ac:dyDescent="0.25">
      <c r="A8900" t="str">
        <f>T("   330710")</f>
        <v xml:space="preserve">   330710</v>
      </c>
      <c r="B8900" t="str">
        <f>T("   Préparations pour le prérasage, le rasage ou l'après-rasage")</f>
        <v xml:space="preserve">   Préparations pour le prérasage, le rasage ou l'après-rasage</v>
      </c>
      <c r="C8900">
        <v>112156</v>
      </c>
      <c r="D8900">
        <v>173</v>
      </c>
    </row>
    <row r="8901" spans="1:4" x14ac:dyDescent="0.25">
      <c r="A8901" t="str">
        <f>T("   330720")</f>
        <v xml:space="preserve">   330720</v>
      </c>
      <c r="B8901" t="str">
        <f>T("   Désodorisants corporels et antisudoraux, préparés")</f>
        <v xml:space="preserve">   Désodorisants corporels et antisudoraux, préparés</v>
      </c>
      <c r="C8901">
        <v>4338728</v>
      </c>
      <c r="D8901">
        <v>6997</v>
      </c>
    </row>
    <row r="8902" spans="1:4" x14ac:dyDescent="0.25">
      <c r="A8902" t="str">
        <f>T("   340111")</f>
        <v xml:space="preserve">   340111</v>
      </c>
      <c r="B8902" t="s">
        <v>98</v>
      </c>
      <c r="C8902">
        <v>137823932</v>
      </c>
      <c r="D8902">
        <v>99546</v>
      </c>
    </row>
    <row r="8903" spans="1:4" x14ac:dyDescent="0.25">
      <c r="A8903" t="str">
        <f>T("   340119")</f>
        <v xml:space="preserve">   340119</v>
      </c>
      <c r="B8903" t="s">
        <v>99</v>
      </c>
      <c r="C8903">
        <v>368056</v>
      </c>
      <c r="D8903">
        <v>1944</v>
      </c>
    </row>
    <row r="8904" spans="1:4" x14ac:dyDescent="0.25">
      <c r="A8904" t="str">
        <f>T("   340120")</f>
        <v xml:space="preserve">   340120</v>
      </c>
      <c r="B8904" t="str">
        <f>T("   Savons en flocons, en paillettes, en granulés ou en poudres et savons liquides ou pâteux")</f>
        <v xml:space="preserve">   Savons en flocons, en paillettes, en granulés ou en poudres et savons liquides ou pâteux</v>
      </c>
      <c r="C8904">
        <v>2572609</v>
      </c>
      <c r="D8904">
        <v>7305</v>
      </c>
    </row>
    <row r="8905" spans="1:4" x14ac:dyDescent="0.25">
      <c r="A8905" t="str">
        <f>T("   340130")</f>
        <v xml:space="preserve">   340130</v>
      </c>
      <c r="B8905"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8905">
        <v>5258536</v>
      </c>
      <c r="D8905">
        <v>6453</v>
      </c>
    </row>
    <row r="8906" spans="1:4" x14ac:dyDescent="0.25">
      <c r="A8906" t="str">
        <f>T("   340220")</f>
        <v xml:space="preserve">   340220</v>
      </c>
      <c r="B8906" t="s">
        <v>100</v>
      </c>
      <c r="C8906">
        <v>38652544</v>
      </c>
      <c r="D8906">
        <v>67540</v>
      </c>
    </row>
    <row r="8907" spans="1:4" x14ac:dyDescent="0.25">
      <c r="A8907" t="str">
        <f>T("   340290")</f>
        <v xml:space="preserve">   340290</v>
      </c>
      <c r="B8907" t="s">
        <v>101</v>
      </c>
      <c r="C8907">
        <v>510846</v>
      </c>
      <c r="D8907">
        <v>1133</v>
      </c>
    </row>
    <row r="8908" spans="1:4" x14ac:dyDescent="0.25">
      <c r="A8908" t="str">
        <f>T("   340540")</f>
        <v xml:space="preserve">   340540</v>
      </c>
      <c r="B8908"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8908">
        <v>13801165</v>
      </c>
      <c r="D8908">
        <v>17669</v>
      </c>
    </row>
    <row r="8909" spans="1:4" x14ac:dyDescent="0.25">
      <c r="A8909" t="str">
        <f>T("   380840")</f>
        <v xml:space="preserve">   380840</v>
      </c>
      <c r="B8909"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8909">
        <v>318783</v>
      </c>
      <c r="D8909">
        <v>8320</v>
      </c>
    </row>
    <row r="8910" spans="1:4" x14ac:dyDescent="0.25">
      <c r="A8910" t="str">
        <f>T("   380991")</f>
        <v xml:space="preserve">   380991</v>
      </c>
      <c r="B8910" t="s">
        <v>118</v>
      </c>
      <c r="C8910">
        <v>732860</v>
      </c>
      <c r="D8910">
        <v>1154</v>
      </c>
    </row>
    <row r="8911" spans="1:4" x14ac:dyDescent="0.25">
      <c r="A8911" t="str">
        <f>T("   391721")</f>
        <v xml:space="preserve">   391721</v>
      </c>
      <c r="B8911" t="str">
        <f>T("   TUBES ET TUYAUX RIGIDES, EN POLYMÈRES DE L'ÉTHYLÈNE")</f>
        <v xml:space="preserve">   TUBES ET TUYAUX RIGIDES, EN POLYMÈRES DE L'ÉTHYLÈNE</v>
      </c>
      <c r="C8911">
        <v>7746266</v>
      </c>
      <c r="D8911">
        <v>7390</v>
      </c>
    </row>
    <row r="8912" spans="1:4" x14ac:dyDescent="0.25">
      <c r="A8912" t="str">
        <f>T("   392321")</f>
        <v xml:space="preserve">   392321</v>
      </c>
      <c r="B8912" t="str">
        <f>T("   Sacs, sachets, pochettes et cornets, en polymères de l'éthylène")</f>
        <v xml:space="preserve">   Sacs, sachets, pochettes et cornets, en polymères de l'éthylène</v>
      </c>
      <c r="C8912">
        <v>2036161</v>
      </c>
      <c r="D8912">
        <v>456</v>
      </c>
    </row>
    <row r="8913" spans="1:4" x14ac:dyDescent="0.25">
      <c r="A8913" t="str">
        <f>T("   392329")</f>
        <v xml:space="preserve">   392329</v>
      </c>
      <c r="B8913" t="str">
        <f>T("   Sacs, sachets, pochettes et cornets, en matières plastiques (autres que les polymères de l'éthylène)")</f>
        <v xml:space="preserve">   Sacs, sachets, pochettes et cornets, en matières plastiques (autres que les polymères de l'éthylène)</v>
      </c>
      <c r="C8913">
        <v>621147</v>
      </c>
      <c r="D8913">
        <v>57</v>
      </c>
    </row>
    <row r="8914" spans="1:4" x14ac:dyDescent="0.25">
      <c r="A8914" t="str">
        <f>T("   392350")</f>
        <v xml:space="preserve">   392350</v>
      </c>
      <c r="B8914" t="str">
        <f>T("   Bouchons, couvercles, capsules et autres dispositifs de fermeture, en matières plastiques")</f>
        <v xml:space="preserve">   Bouchons, couvercles, capsules et autres dispositifs de fermeture, en matières plastiques</v>
      </c>
      <c r="C8914">
        <v>20364112</v>
      </c>
      <c r="D8914">
        <v>2173</v>
      </c>
    </row>
    <row r="8915" spans="1:4" x14ac:dyDescent="0.25">
      <c r="A8915" t="str">
        <f>T("   392690")</f>
        <v xml:space="preserve">   392690</v>
      </c>
      <c r="B8915" t="str">
        <f>T("   Ouvrages en matières plastiques et ouvrages en autres matières du n° 3901 à 3914, n.d.a.")</f>
        <v xml:space="preserve">   Ouvrages en matières plastiques et ouvrages en autres matières du n° 3901 à 3914, n.d.a.</v>
      </c>
      <c r="C8915">
        <v>4430354</v>
      </c>
      <c r="D8915">
        <v>200</v>
      </c>
    </row>
    <row r="8916" spans="1:4" x14ac:dyDescent="0.25">
      <c r="A8916" t="str">
        <f>T("   401120")</f>
        <v xml:space="preserve">   401120</v>
      </c>
      <c r="B8916"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8916">
        <v>4760934</v>
      </c>
      <c r="D8916">
        <v>1357</v>
      </c>
    </row>
    <row r="8917" spans="1:4" x14ac:dyDescent="0.25">
      <c r="A8917" t="str">
        <f>T("   420219")</f>
        <v xml:space="preserve">   420219</v>
      </c>
      <c r="B8917" t="s">
        <v>157</v>
      </c>
      <c r="C8917">
        <v>150000</v>
      </c>
      <c r="D8917">
        <v>320</v>
      </c>
    </row>
    <row r="8918" spans="1:4" x14ac:dyDescent="0.25">
      <c r="A8918" t="str">
        <f>T("   420229")</f>
        <v xml:space="preserve">   420229</v>
      </c>
      <c r="B8918"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8918">
        <v>5205097</v>
      </c>
      <c r="D8918">
        <v>9290</v>
      </c>
    </row>
    <row r="8919" spans="1:4" x14ac:dyDescent="0.25">
      <c r="A8919" t="str">
        <f>T("   481820")</f>
        <v xml:space="preserve">   481820</v>
      </c>
      <c r="B8919"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8919">
        <v>616314</v>
      </c>
      <c r="D8919">
        <v>5580</v>
      </c>
    </row>
    <row r="8920" spans="1:4" x14ac:dyDescent="0.25">
      <c r="A8920" t="str">
        <f>T("   482340")</f>
        <v xml:space="preserve">   482340</v>
      </c>
      <c r="B8920"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8920">
        <v>1370953</v>
      </c>
      <c r="D8920">
        <v>552</v>
      </c>
    </row>
    <row r="8921" spans="1:4" x14ac:dyDescent="0.25">
      <c r="A8921" t="str">
        <f>T("   490110")</f>
        <v xml:space="preserve">   490110</v>
      </c>
      <c r="B8921"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8921">
        <v>665000</v>
      </c>
      <c r="D8921">
        <v>282</v>
      </c>
    </row>
    <row r="8922" spans="1:4" x14ac:dyDescent="0.25">
      <c r="A8922" t="str">
        <f>T("   490199")</f>
        <v xml:space="preserve">   490199</v>
      </c>
      <c r="B892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922">
        <v>723000</v>
      </c>
      <c r="D8922">
        <v>400</v>
      </c>
    </row>
    <row r="8923" spans="1:4" x14ac:dyDescent="0.25">
      <c r="A8923" t="str">
        <f>T("   491110")</f>
        <v xml:space="preserve">   491110</v>
      </c>
      <c r="B8923" t="str">
        <f>T("   Imprimés publicitaires, catalogues commerciaux et simil.")</f>
        <v xml:space="preserve">   Imprimés publicitaires, catalogues commerciaux et simil.</v>
      </c>
      <c r="C8923">
        <v>337800</v>
      </c>
      <c r="D8923">
        <v>532</v>
      </c>
    </row>
    <row r="8924" spans="1:4" x14ac:dyDescent="0.25">
      <c r="A8924" t="str">
        <f>T("   491199")</f>
        <v xml:space="preserve">   491199</v>
      </c>
      <c r="B8924" t="str">
        <f>T("   Imprimés, n.d.a.")</f>
        <v xml:space="preserve">   Imprimés, n.d.a.</v>
      </c>
      <c r="C8924">
        <v>323305</v>
      </c>
      <c r="D8924">
        <v>11</v>
      </c>
    </row>
    <row r="8925" spans="1:4" x14ac:dyDescent="0.25">
      <c r="A8925" t="str">
        <f>T("   570500")</f>
        <v xml:space="preserve">   570500</v>
      </c>
      <c r="B8925"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8925">
        <v>30000</v>
      </c>
      <c r="D8925">
        <v>200</v>
      </c>
    </row>
    <row r="8926" spans="1:4" x14ac:dyDescent="0.25">
      <c r="A8926" t="str">
        <f>T("   610990")</f>
        <v xml:space="preserve">   610990</v>
      </c>
      <c r="B8926" t="str">
        <f>T("   T-shirts et maillots de corps, en bonneterie, de matières textiles (sauf de coton)")</f>
        <v xml:space="preserve">   T-shirts et maillots de corps, en bonneterie, de matières textiles (sauf de coton)</v>
      </c>
      <c r="C8926">
        <v>209000</v>
      </c>
      <c r="D8926">
        <v>201</v>
      </c>
    </row>
    <row r="8927" spans="1:4" x14ac:dyDescent="0.25">
      <c r="A8927" t="str">
        <f>T("   620339")</f>
        <v xml:space="preserve">   620339</v>
      </c>
      <c r="B8927"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8927">
        <v>852561</v>
      </c>
      <c r="D8927">
        <v>28</v>
      </c>
    </row>
    <row r="8928" spans="1:4" x14ac:dyDescent="0.25">
      <c r="A8928" t="str">
        <f>T("   620469")</f>
        <v xml:space="preserve">   620469</v>
      </c>
      <c r="B8928" t="s">
        <v>262</v>
      </c>
      <c r="C8928">
        <v>1571149</v>
      </c>
      <c r="D8928">
        <v>53</v>
      </c>
    </row>
    <row r="8929" spans="1:4" x14ac:dyDescent="0.25">
      <c r="A8929" t="str">
        <f>T("   620590")</f>
        <v xml:space="preserve">   620590</v>
      </c>
      <c r="B892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929">
        <v>1100000</v>
      </c>
      <c r="D8929">
        <v>2400</v>
      </c>
    </row>
    <row r="8930" spans="1:4" x14ac:dyDescent="0.25">
      <c r="A8930" t="str">
        <f>T("   621040")</f>
        <v xml:space="preserve">   621040</v>
      </c>
      <c r="B8930" t="s">
        <v>265</v>
      </c>
      <c r="C8930">
        <v>420000</v>
      </c>
      <c r="D8930">
        <v>1900</v>
      </c>
    </row>
    <row r="8931" spans="1:4" x14ac:dyDescent="0.25">
      <c r="A8931" t="str">
        <f>T("   630399")</f>
        <v xml:space="preserve">   630399</v>
      </c>
      <c r="B8931"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8931">
        <v>70000</v>
      </c>
      <c r="D8931">
        <v>180</v>
      </c>
    </row>
    <row r="8932" spans="1:4" x14ac:dyDescent="0.25">
      <c r="A8932" t="str">
        <f>T("   630790")</f>
        <v xml:space="preserve">   630790</v>
      </c>
      <c r="B8932" t="str">
        <f>T("   Articles de matières textiles, confectionnés, y.c. les patrons de vêtements n.d.a.")</f>
        <v xml:space="preserve">   Articles de matières textiles, confectionnés, y.c. les patrons de vêtements n.d.a.</v>
      </c>
      <c r="C8932">
        <v>302650</v>
      </c>
      <c r="D8932">
        <v>4</v>
      </c>
    </row>
    <row r="8933" spans="1:4" x14ac:dyDescent="0.25">
      <c r="A8933" t="str">
        <f>T("   630900")</f>
        <v xml:space="preserve">   630900</v>
      </c>
      <c r="B8933" t="s">
        <v>273</v>
      </c>
      <c r="C8933">
        <v>21125000</v>
      </c>
      <c r="D8933">
        <v>44000</v>
      </c>
    </row>
    <row r="8934" spans="1:4" x14ac:dyDescent="0.25">
      <c r="A8934" t="str">
        <f>T("   640590")</f>
        <v xml:space="preserve">   640590</v>
      </c>
      <c r="B8934" t="s">
        <v>283</v>
      </c>
      <c r="C8934">
        <v>2906000</v>
      </c>
      <c r="D8934">
        <v>1550</v>
      </c>
    </row>
    <row r="8935" spans="1:4" x14ac:dyDescent="0.25">
      <c r="A8935" t="str">
        <f>T("   650699")</f>
        <v xml:space="preserve">   650699</v>
      </c>
      <c r="B8935" t="str">
        <f>T("   Chapeaux et autres coiffures, même garnis, n.d.a.")</f>
        <v xml:space="preserve">   Chapeaux et autres coiffures, même garnis, n.d.a.</v>
      </c>
      <c r="C8935">
        <v>576088</v>
      </c>
      <c r="D8935">
        <v>19</v>
      </c>
    </row>
    <row r="8936" spans="1:4" x14ac:dyDescent="0.25">
      <c r="A8936" t="str">
        <f>T("   660199")</f>
        <v xml:space="preserve">   660199</v>
      </c>
      <c r="B8936"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8936">
        <v>250000</v>
      </c>
      <c r="D8936">
        <v>200</v>
      </c>
    </row>
    <row r="8937" spans="1:4" x14ac:dyDescent="0.25">
      <c r="A8937" t="str">
        <f>T("   701329")</f>
        <v xml:space="preserve">   701329</v>
      </c>
      <c r="B8937" t="str">
        <f>T("   Verres à boire (autres qu'en vitrocérame, autres qu'en cristal au plomb)")</f>
        <v xml:space="preserve">   Verres à boire (autres qu'en vitrocérame, autres qu'en cristal au plomb)</v>
      </c>
      <c r="C8937">
        <v>50000</v>
      </c>
      <c r="D8937">
        <v>100</v>
      </c>
    </row>
    <row r="8938" spans="1:4" x14ac:dyDescent="0.25">
      <c r="A8938" t="str">
        <f>T("   702000")</f>
        <v xml:space="preserve">   702000</v>
      </c>
      <c r="B8938" t="str">
        <f>T("   Ouvrages en verre n.d.a.")</f>
        <v xml:space="preserve">   Ouvrages en verre n.d.a.</v>
      </c>
      <c r="C8938">
        <v>4582656</v>
      </c>
      <c r="D8938">
        <v>3344</v>
      </c>
    </row>
    <row r="8939" spans="1:4" x14ac:dyDescent="0.25">
      <c r="A8939" t="str">
        <f>T("   730820")</f>
        <v xml:space="preserve">   730820</v>
      </c>
      <c r="B8939" t="str">
        <f>T("   Tours et pylônes, en fer ou en acier")</f>
        <v xml:space="preserve">   Tours et pylônes, en fer ou en acier</v>
      </c>
      <c r="C8939">
        <v>10670739</v>
      </c>
      <c r="D8939">
        <v>2634</v>
      </c>
    </row>
    <row r="8940" spans="1:4" x14ac:dyDescent="0.25">
      <c r="A8940" t="str">
        <f>T("   731100")</f>
        <v xml:space="preserve">   731100</v>
      </c>
      <c r="B8940"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8940">
        <v>9141871</v>
      </c>
      <c r="D8940">
        <v>350</v>
      </c>
    </row>
    <row r="8941" spans="1:4" x14ac:dyDescent="0.25">
      <c r="A8941" t="str">
        <f>T("   732394")</f>
        <v xml:space="preserve">   732394</v>
      </c>
      <c r="B8941" t="s">
        <v>362</v>
      </c>
      <c r="C8941">
        <v>1100000</v>
      </c>
      <c r="D8941">
        <v>2300</v>
      </c>
    </row>
    <row r="8942" spans="1:4" x14ac:dyDescent="0.25">
      <c r="A8942" t="str">
        <f>T("   732399")</f>
        <v xml:space="preserve">   732399</v>
      </c>
      <c r="B8942" t="s">
        <v>363</v>
      </c>
      <c r="C8942">
        <v>5350000</v>
      </c>
      <c r="D8942">
        <v>6900</v>
      </c>
    </row>
    <row r="8943" spans="1:4" x14ac:dyDescent="0.25">
      <c r="A8943" t="str">
        <f>T("   732510")</f>
        <v xml:space="preserve">   732510</v>
      </c>
      <c r="B8943" t="str">
        <f>T("   OUVRAGES EN FER OU EN ACIER, EN FONTE NON-MALLÉABLE, MOULÉS, N.D.A.")</f>
        <v xml:space="preserve">   OUVRAGES EN FER OU EN ACIER, EN FONTE NON-MALLÉABLE, MOULÉS, N.D.A.</v>
      </c>
      <c r="C8943">
        <v>4021838</v>
      </c>
      <c r="D8943">
        <v>1200</v>
      </c>
    </row>
    <row r="8944" spans="1:4" x14ac:dyDescent="0.25">
      <c r="A8944" t="str">
        <f>T("   760720")</f>
        <v xml:space="preserve">   760720</v>
      </c>
      <c r="B8944" t="str">
        <f>T("   Feuilles et bandes minces d'aluminium, sur support, d'une épaisseur, support non compris, &lt;= 0,2 mm (sauf feuilles pour le marquage au fer du n° 3212 et sauf feuilles travaillées pour la décoration des sapins de Noël)")</f>
        <v xml:space="preserve">   Feuilles et bandes minces d'aluminium, sur support, d'une épaisseur, support non compris, &lt;= 0,2 mm (sauf feuilles pour le marquage au fer du n° 3212 et sauf feuilles travaillées pour la décoration des sapins de Noël)</v>
      </c>
      <c r="C8944">
        <v>55671</v>
      </c>
      <c r="D8944">
        <v>4</v>
      </c>
    </row>
    <row r="8945" spans="1:4" x14ac:dyDescent="0.25">
      <c r="A8945" t="str">
        <f>T("   830910")</f>
        <v xml:space="preserve">   830910</v>
      </c>
      <c r="B8945" t="str">
        <f>T("   Bouchons-couronnes en métaux communs")</f>
        <v xml:space="preserve">   Bouchons-couronnes en métaux communs</v>
      </c>
      <c r="C8945">
        <v>4582656</v>
      </c>
      <c r="D8945">
        <v>3010</v>
      </c>
    </row>
    <row r="8946" spans="1:4" x14ac:dyDescent="0.25">
      <c r="A8946" t="str">
        <f>T("   831190")</f>
        <v xml:space="preserve">   831190</v>
      </c>
      <c r="B8946" t="s">
        <v>385</v>
      </c>
      <c r="C8946">
        <v>250000</v>
      </c>
      <c r="D8946">
        <v>620</v>
      </c>
    </row>
    <row r="8947" spans="1:4" x14ac:dyDescent="0.25">
      <c r="A8947" t="str">
        <f>T("   840991")</f>
        <v xml:space="preserve">   840991</v>
      </c>
      <c r="B8947"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8947">
        <v>776657</v>
      </c>
      <c r="D8947">
        <v>2</v>
      </c>
    </row>
    <row r="8948" spans="1:4" x14ac:dyDescent="0.25">
      <c r="A8948" t="str">
        <f>T("   841381")</f>
        <v xml:space="preserve">   841381</v>
      </c>
      <c r="B8948" t="s">
        <v>398</v>
      </c>
      <c r="C8948">
        <v>6676788</v>
      </c>
      <c r="D8948">
        <v>2074</v>
      </c>
    </row>
    <row r="8949" spans="1:4" x14ac:dyDescent="0.25">
      <c r="A8949" t="str">
        <f>T("   841829")</f>
        <v xml:space="preserve">   841829</v>
      </c>
      <c r="B8949" t="str">
        <f>T("   Réfrigérateurs ménagers à absorption, non-électriques")</f>
        <v xml:space="preserve">   Réfrigérateurs ménagers à absorption, non-électriques</v>
      </c>
      <c r="C8949">
        <v>600000</v>
      </c>
      <c r="D8949">
        <v>1100</v>
      </c>
    </row>
    <row r="8950" spans="1:4" x14ac:dyDescent="0.25">
      <c r="A8950" t="str">
        <f>T("   841981")</f>
        <v xml:space="preserve">   841981</v>
      </c>
      <c r="B8950" t="str">
        <f>T("   Appareils et dispositifs pour la préparation de boissons chaudes ou la cuisson ou le chauffage des aliments (sauf appareils domestiques)")</f>
        <v xml:space="preserve">   Appareils et dispositifs pour la préparation de boissons chaudes ou la cuisson ou le chauffage des aliments (sauf appareils domestiques)</v>
      </c>
      <c r="C8950">
        <v>5526927</v>
      </c>
      <c r="D8950">
        <v>1906</v>
      </c>
    </row>
    <row r="8951" spans="1:4" x14ac:dyDescent="0.25">
      <c r="A8951" t="str">
        <f>T("   842129")</f>
        <v xml:space="preserve">   842129</v>
      </c>
      <c r="B8951"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8951">
        <v>364870</v>
      </c>
      <c r="D8951">
        <v>53</v>
      </c>
    </row>
    <row r="8952" spans="1:4" x14ac:dyDescent="0.25">
      <c r="A8952" t="str">
        <f>T("   842199")</f>
        <v xml:space="preserve">   842199</v>
      </c>
      <c r="B8952" t="str">
        <f>T("   Parties d'appareils pour la filtration ou l'épuration des liquides ou des gaz, n.d.a.")</f>
        <v xml:space="preserve">   Parties d'appareils pour la filtration ou l'épuration des liquides ou des gaz, n.d.a.</v>
      </c>
      <c r="C8952">
        <v>270256</v>
      </c>
      <c r="D8952">
        <v>30</v>
      </c>
    </row>
    <row r="8953" spans="1:4" x14ac:dyDescent="0.25">
      <c r="A8953" t="str">
        <f>T("   847190")</f>
        <v xml:space="preserve">   847190</v>
      </c>
      <c r="B895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953">
        <v>600000</v>
      </c>
      <c r="D8953">
        <v>26</v>
      </c>
    </row>
    <row r="8954" spans="1:4" x14ac:dyDescent="0.25">
      <c r="A8954" t="str">
        <f>T("   847431")</f>
        <v xml:space="preserve">   847431</v>
      </c>
      <c r="B8954"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8954">
        <v>15534309</v>
      </c>
      <c r="D8954">
        <v>2500</v>
      </c>
    </row>
    <row r="8955" spans="1:4" x14ac:dyDescent="0.25">
      <c r="A8955" t="str">
        <f>T("   848490")</f>
        <v xml:space="preserve">   848490</v>
      </c>
      <c r="B8955" t="str">
        <f>T("   Jeux ou assortiments de joints de composition différente présentés en pochettes, enveloppes ou emballages analogues")</f>
        <v xml:space="preserve">   Jeux ou assortiments de joints de composition différente présentés en pochettes, enveloppes ou emballages analogues</v>
      </c>
      <c r="C8955">
        <v>148977</v>
      </c>
      <c r="D8955">
        <v>1</v>
      </c>
    </row>
    <row r="8956" spans="1:4" x14ac:dyDescent="0.25">
      <c r="A8956" t="str">
        <f>T("   850780")</f>
        <v xml:space="preserve">   850780</v>
      </c>
      <c r="B8956" t="str">
        <f>T("   Accumulateurs électriques (sauf hors d'usage et autres qu'au plomb, au nickel-cadmium ou au nickel-fer)")</f>
        <v xml:space="preserve">   Accumulateurs électriques (sauf hors d'usage et autres qu'au plomb, au nickel-cadmium ou au nickel-fer)</v>
      </c>
      <c r="C8956">
        <v>37526728</v>
      </c>
      <c r="D8956">
        <v>5537</v>
      </c>
    </row>
    <row r="8957" spans="1:4" x14ac:dyDescent="0.25">
      <c r="A8957" t="str">
        <f>T("   851531")</f>
        <v xml:space="preserve">   851531</v>
      </c>
      <c r="B8957" t="str">
        <f>T("   Machines et appareils pour le soudage des métaux à l'arc ou au jet de plasma, entièrement ou partiellement automatiques")</f>
        <v xml:space="preserve">   Machines et appareils pour le soudage des métaux à l'arc ou au jet de plasma, entièrement ou partiellement automatiques</v>
      </c>
      <c r="C8957">
        <v>3420107</v>
      </c>
      <c r="D8957">
        <v>2000</v>
      </c>
    </row>
    <row r="8958" spans="1:4" x14ac:dyDescent="0.25">
      <c r="A8958" t="str">
        <f>T("   852439")</f>
        <v xml:space="preserve">   852439</v>
      </c>
      <c r="B8958"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8958">
        <v>65000</v>
      </c>
      <c r="D8958">
        <v>28</v>
      </c>
    </row>
    <row r="8959" spans="1:4" x14ac:dyDescent="0.25">
      <c r="A8959" t="str">
        <f>T("   852812")</f>
        <v xml:space="preserve">   852812</v>
      </c>
      <c r="B895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959">
        <v>200000</v>
      </c>
      <c r="D8959">
        <v>400</v>
      </c>
    </row>
    <row r="8960" spans="1:4" x14ac:dyDescent="0.25">
      <c r="A8960" t="str">
        <f>T("   853110")</f>
        <v xml:space="preserve">   853110</v>
      </c>
      <c r="B8960" t="str">
        <f>T("   Avertisseurs électriques pour la protection contre le vol ou l'incendie et appareils simil.")</f>
        <v xml:space="preserve">   Avertisseurs électriques pour la protection contre le vol ou l'incendie et appareils simil.</v>
      </c>
      <c r="C8960">
        <v>627136</v>
      </c>
      <c r="D8960">
        <v>1000</v>
      </c>
    </row>
    <row r="8961" spans="1:4" x14ac:dyDescent="0.25">
      <c r="A8961" t="str">
        <f>T("   853540")</f>
        <v xml:space="preserve">   853540</v>
      </c>
      <c r="B8961" t="str">
        <f>T("   Parafoudres, limiteurs de tension et étaleurs d'ondes, pour une tension &gt; 1.000 V")</f>
        <v xml:space="preserve">   Parafoudres, limiteurs de tension et étaleurs d'ondes, pour une tension &gt; 1.000 V</v>
      </c>
      <c r="C8961">
        <v>1133488</v>
      </c>
      <c r="D8961">
        <v>86</v>
      </c>
    </row>
    <row r="8962" spans="1:4" x14ac:dyDescent="0.25">
      <c r="A8962" t="str">
        <f>T("   853669")</f>
        <v xml:space="preserve">   853669</v>
      </c>
      <c r="B8962" t="str">
        <f>T("   Fiches et prises de courant, pour une tension &lt;= 1.000 V (sauf douilles pour lampes)")</f>
        <v xml:space="preserve">   Fiches et prises de courant, pour une tension &lt;= 1.000 V (sauf douilles pour lampes)</v>
      </c>
      <c r="C8962">
        <v>161350</v>
      </c>
      <c r="D8962">
        <v>4</v>
      </c>
    </row>
    <row r="8963" spans="1:4" x14ac:dyDescent="0.25">
      <c r="A8963" t="str">
        <f>T("   853690")</f>
        <v xml:space="preserve">   853690</v>
      </c>
      <c r="B8963" t="s">
        <v>467</v>
      </c>
      <c r="C8963">
        <v>1205900</v>
      </c>
      <c r="D8963">
        <v>23921</v>
      </c>
    </row>
    <row r="8964" spans="1:4" x14ac:dyDescent="0.25">
      <c r="A8964" t="str">
        <f>T("   853710")</f>
        <v xml:space="preserve">   853710</v>
      </c>
      <c r="B8964"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8964">
        <v>8728410</v>
      </c>
      <c r="D8964">
        <v>1997</v>
      </c>
    </row>
    <row r="8965" spans="1:4" x14ac:dyDescent="0.25">
      <c r="A8965" t="str">
        <f>T("   853890")</f>
        <v xml:space="preserve">   853890</v>
      </c>
      <c r="B8965" t="s">
        <v>468</v>
      </c>
      <c r="C8965">
        <v>14772780</v>
      </c>
      <c r="D8965">
        <v>1420</v>
      </c>
    </row>
    <row r="8966" spans="1:4" x14ac:dyDescent="0.25">
      <c r="A8966" t="str">
        <f>T("   854210")</f>
        <v xml:space="preserve">   854210</v>
      </c>
      <c r="B8966" t="str">
        <f>T("   Cartes munies d'un circuit intégré électronique [cartes intelligentes], munies ou non d'une piste magnétique")</f>
        <v xml:space="preserve">   Cartes munies d'un circuit intégré électronique [cartes intelligentes], munies ou non d'une piste magnétique</v>
      </c>
      <c r="C8966">
        <v>1596528</v>
      </c>
      <c r="D8966">
        <v>80</v>
      </c>
    </row>
    <row r="8967" spans="1:4" x14ac:dyDescent="0.25">
      <c r="A8967" t="str">
        <f>T("   854420")</f>
        <v xml:space="preserve">   854420</v>
      </c>
      <c r="B8967" t="str">
        <f>T("   Câbles coaxiaux et autres conducteurs électriques coaxiaux, isolés")</f>
        <v xml:space="preserve">   Câbles coaxiaux et autres conducteurs électriques coaxiaux, isolés</v>
      </c>
      <c r="C8967">
        <v>46752509</v>
      </c>
      <c r="D8967">
        <v>216752</v>
      </c>
    </row>
    <row r="8968" spans="1:4" x14ac:dyDescent="0.25">
      <c r="A8968" t="str">
        <f>T("   854449")</f>
        <v xml:space="preserve">   854449</v>
      </c>
      <c r="B8968" t="str">
        <f>T("   CONDUCTEURS ÉLECTRIQUES, POUR TENSION &lt;= 1.000 V, ISOLÉS, SANS PIÈCES DE CONNEXION, N.D.A.")</f>
        <v xml:space="preserve">   CONDUCTEURS ÉLECTRIQUES, POUR TENSION &lt;= 1.000 V, ISOLÉS, SANS PIÈCES DE CONNEXION, N.D.A.</v>
      </c>
      <c r="C8968">
        <v>3149574</v>
      </c>
      <c r="D8968">
        <v>4953</v>
      </c>
    </row>
    <row r="8969" spans="1:4" x14ac:dyDescent="0.25">
      <c r="A8969" t="str">
        <f>T("   854459")</f>
        <v xml:space="preserve">   854459</v>
      </c>
      <c r="B8969" t="str">
        <f>T("   Conducteurs électriques, pour tension &gt; 80 V mais &lt;= 1.000 V, sans pièces de connexion, n.d.a.")</f>
        <v xml:space="preserve">   Conducteurs électriques, pour tension &gt; 80 V mais &lt;= 1.000 V, sans pièces de connexion, n.d.a.</v>
      </c>
      <c r="C8969">
        <v>72412501</v>
      </c>
      <c r="D8969">
        <v>113724</v>
      </c>
    </row>
    <row r="8970" spans="1:4" x14ac:dyDescent="0.25">
      <c r="A8970" t="str">
        <f>T("   854720")</f>
        <v xml:space="preserve">   854720</v>
      </c>
      <c r="B8970" t="str">
        <f>T("   Pièces isolantes en matières plastiques, pour usages électriques")</f>
        <v xml:space="preserve">   Pièces isolantes en matières plastiques, pour usages électriques</v>
      </c>
      <c r="C8970">
        <v>4167904</v>
      </c>
      <c r="D8970">
        <v>1324</v>
      </c>
    </row>
    <row r="8971" spans="1:4" x14ac:dyDescent="0.25">
      <c r="A8971" t="str">
        <f>T("   860900")</f>
        <v xml:space="preserve">   860900</v>
      </c>
      <c r="B8971"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8971">
        <v>200000</v>
      </c>
      <c r="D8971">
        <v>3900</v>
      </c>
    </row>
    <row r="8972" spans="1:4" x14ac:dyDescent="0.25">
      <c r="A8972" t="str">
        <f>T("   870110")</f>
        <v xml:space="preserve">   870110</v>
      </c>
      <c r="B8972"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8972">
        <v>3935760</v>
      </c>
      <c r="D8972">
        <v>6000</v>
      </c>
    </row>
    <row r="8973" spans="1:4" x14ac:dyDescent="0.25">
      <c r="A8973" t="str">
        <f>T("   870322")</f>
        <v xml:space="preserve">   870322</v>
      </c>
      <c r="B8973" t="s">
        <v>472</v>
      </c>
      <c r="C8973">
        <v>51482940</v>
      </c>
      <c r="D8973">
        <v>8430</v>
      </c>
    </row>
    <row r="8974" spans="1:4" x14ac:dyDescent="0.25">
      <c r="A8974" t="str">
        <f>T("   870323")</f>
        <v xml:space="preserve">   870323</v>
      </c>
      <c r="B8974" t="s">
        <v>473</v>
      </c>
      <c r="C8974">
        <v>12894432</v>
      </c>
      <c r="D8974">
        <v>1500</v>
      </c>
    </row>
    <row r="8975" spans="1:4" x14ac:dyDescent="0.25">
      <c r="A8975" t="str">
        <f>T("   870421")</f>
        <v xml:space="preserve">   870421</v>
      </c>
      <c r="B8975" t="s">
        <v>478</v>
      </c>
      <c r="C8975">
        <v>70855613</v>
      </c>
      <c r="D8975">
        <v>12270</v>
      </c>
    </row>
    <row r="8976" spans="1:4" x14ac:dyDescent="0.25">
      <c r="A8976" t="str">
        <f>T("   870490")</f>
        <v xml:space="preserve">   870490</v>
      </c>
      <c r="B8976"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8976">
        <v>2000000</v>
      </c>
      <c r="D8976">
        <v>4000</v>
      </c>
    </row>
    <row r="8977" spans="1:4" x14ac:dyDescent="0.25">
      <c r="A8977" t="str">
        <f>T("   870899")</f>
        <v xml:space="preserve">   870899</v>
      </c>
      <c r="B8977"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977">
        <v>185657</v>
      </c>
      <c r="D8977">
        <v>24</v>
      </c>
    </row>
    <row r="8978" spans="1:4" x14ac:dyDescent="0.25">
      <c r="A8978" t="str">
        <f>T("   871120")</f>
        <v xml:space="preserve">   871120</v>
      </c>
      <c r="B8978" t="str">
        <f>T("   Motocycles à moteur à piston alternatif, cylindrée &gt; 50 cm³ mais &lt;= 250 cm³")</f>
        <v xml:space="preserve">   Motocycles à moteur à piston alternatif, cylindrée &gt; 50 cm³ mais &lt;= 250 cm³</v>
      </c>
      <c r="C8978">
        <v>17280610</v>
      </c>
      <c r="D8978">
        <v>12480</v>
      </c>
    </row>
    <row r="8979" spans="1:4" x14ac:dyDescent="0.25">
      <c r="A8979" t="str">
        <f>T("   880190")</f>
        <v xml:space="preserve">   880190</v>
      </c>
      <c r="B8979" t="str">
        <f>T("   Ballons et dirigeables et autres véhicules aériens (non conçus pour la propulsion à moteur) (sauf planeurs et ailes volantes, cerf-volants pour enfants et ballonnets pour enfants)")</f>
        <v xml:space="preserve">   Ballons et dirigeables et autres véhicules aériens (non conçus pour la propulsion à moteur) (sauf planeurs et ailes volantes, cerf-volants pour enfants et ballonnets pour enfants)</v>
      </c>
      <c r="C8979">
        <v>4454909</v>
      </c>
      <c r="D8979">
        <v>223</v>
      </c>
    </row>
    <row r="8980" spans="1:4" x14ac:dyDescent="0.25">
      <c r="A8980" t="str">
        <f>T("   890310")</f>
        <v xml:space="preserve">   890310</v>
      </c>
      <c r="B8980" t="str">
        <f>T("   Bateaux gonflables, de plaisance ou de sport")</f>
        <v xml:space="preserve">   Bateaux gonflables, de plaisance ou de sport</v>
      </c>
      <c r="C8980">
        <v>1500000</v>
      </c>
      <c r="D8980">
        <v>700</v>
      </c>
    </row>
    <row r="8981" spans="1:4" x14ac:dyDescent="0.25">
      <c r="A8981" t="str">
        <f>T("   902519")</f>
        <v xml:space="preserve">   902519</v>
      </c>
      <c r="B8981"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8981">
        <v>525000</v>
      </c>
      <c r="D8981">
        <v>223</v>
      </c>
    </row>
    <row r="8982" spans="1:4" x14ac:dyDescent="0.25">
      <c r="A8982" t="str">
        <f>T("   940350")</f>
        <v xml:space="preserve">   940350</v>
      </c>
      <c r="B8982" t="str">
        <f>T("   Meubles pour chambres à coucher, en bois (sauf sièges)")</f>
        <v xml:space="preserve">   Meubles pour chambres à coucher, en bois (sauf sièges)</v>
      </c>
      <c r="C8982">
        <v>2300000</v>
      </c>
      <c r="D8982">
        <v>4100</v>
      </c>
    </row>
    <row r="8983" spans="1:4" x14ac:dyDescent="0.25">
      <c r="A8983" t="str">
        <f>T("   940360")</f>
        <v xml:space="preserve">   940360</v>
      </c>
      <c r="B8983" t="str">
        <f>T("   Meubles en bois (autres que pour bureaux, cuisines ou chambres à coucher et autres que sièges)")</f>
        <v xml:space="preserve">   Meubles en bois (autres que pour bureaux, cuisines ou chambres à coucher et autres que sièges)</v>
      </c>
      <c r="C8983">
        <v>792445</v>
      </c>
      <c r="D8983">
        <v>566</v>
      </c>
    </row>
    <row r="8984" spans="1:4" x14ac:dyDescent="0.25">
      <c r="A8984" t="str">
        <f>T("   940380")</f>
        <v xml:space="preserve">   940380</v>
      </c>
      <c r="B8984" t="str">
        <f>T("   Meubles en rotin, osier, bambou ou autres matières (sauf métal, bois et matières plastiques)")</f>
        <v xml:space="preserve">   Meubles en rotin, osier, bambou ou autres matières (sauf métal, bois et matières plastiques)</v>
      </c>
      <c r="C8984">
        <v>4963767</v>
      </c>
      <c r="D8984">
        <v>2600</v>
      </c>
    </row>
    <row r="8985" spans="1:4" x14ac:dyDescent="0.25">
      <c r="A8985" t="str">
        <f>T("   960321")</f>
        <v xml:space="preserve">   960321</v>
      </c>
      <c r="B8985" t="str">
        <f>T("   Brosses à dent, y.c. brosses à prothèses dentaires")</f>
        <v xml:space="preserve">   Brosses à dent, y.c. brosses à prothèses dentaires</v>
      </c>
      <c r="C8985">
        <v>14514576</v>
      </c>
      <c r="D8985">
        <v>5881</v>
      </c>
    </row>
    <row r="8986" spans="1:4" x14ac:dyDescent="0.25">
      <c r="A8986" t="str">
        <f>T("   960839")</f>
        <v xml:space="preserve">   960839</v>
      </c>
      <c r="B8986" t="str">
        <f>T("   Stylos à plume et autres stylos (autres qu'à dessiner à l'encre de Chine)")</f>
        <v xml:space="preserve">   Stylos à plume et autres stylos (autres qu'à dessiner à l'encre de Chine)</v>
      </c>
      <c r="C8986">
        <v>245000</v>
      </c>
      <c r="D8986">
        <v>260</v>
      </c>
    </row>
    <row r="8987" spans="1:4" x14ac:dyDescent="0.25">
      <c r="A8987" t="str">
        <f>T("SO")</f>
        <v>SO</v>
      </c>
      <c r="B8987" t="str">
        <f>T("Somalie")</f>
        <v>Somalie</v>
      </c>
    </row>
    <row r="8988" spans="1:4" x14ac:dyDescent="0.25">
      <c r="A8988" t="str">
        <f>T("   ZZ_Total_Produit_SH6")</f>
        <v xml:space="preserve">   ZZ_Total_Produit_SH6</v>
      </c>
      <c r="B8988" t="str">
        <f>T("   ZZ_Total_Produit_SH6")</f>
        <v xml:space="preserve">   ZZ_Total_Produit_SH6</v>
      </c>
      <c r="C8988">
        <v>7000906</v>
      </c>
      <c r="D8988">
        <v>7500</v>
      </c>
    </row>
    <row r="8989" spans="1:4" x14ac:dyDescent="0.25">
      <c r="A8989" t="str">
        <f>T("   847989")</f>
        <v xml:space="preserve">   847989</v>
      </c>
      <c r="B8989" t="str">
        <f>T("   Machines et appareils, y.c. les appareils mécaniques, n.d.a.")</f>
        <v xml:space="preserve">   Machines et appareils, y.c. les appareils mécaniques, n.d.a.</v>
      </c>
      <c r="C8989">
        <v>6000503</v>
      </c>
      <c r="D8989">
        <v>6000</v>
      </c>
    </row>
    <row r="8990" spans="1:4" x14ac:dyDescent="0.25">
      <c r="A8990" t="str">
        <f>T("   854419")</f>
        <v xml:space="preserve">   854419</v>
      </c>
      <c r="B8990" t="str">
        <f>T("   Fils pour bobinages pour l'électricité, autres qu'en cuivre, isolés")</f>
        <v xml:space="preserve">   Fils pour bobinages pour l'électricité, autres qu'en cuivre, isolés</v>
      </c>
      <c r="C8990">
        <v>1000403</v>
      </c>
      <c r="D8990">
        <v>1500</v>
      </c>
    </row>
    <row r="8991" spans="1:4" x14ac:dyDescent="0.25">
      <c r="A8991" t="str">
        <f>T("SR")</f>
        <v>SR</v>
      </c>
      <c r="B8991" t="str">
        <f>T("Suriname")</f>
        <v>Suriname</v>
      </c>
    </row>
    <row r="8992" spans="1:4" x14ac:dyDescent="0.25">
      <c r="A8992" t="str">
        <f>T("   ZZ_Total_Produit_SH6")</f>
        <v xml:space="preserve">   ZZ_Total_Produit_SH6</v>
      </c>
      <c r="B8992" t="str">
        <f>T("   ZZ_Total_Produit_SH6")</f>
        <v xml:space="preserve">   ZZ_Total_Produit_SH6</v>
      </c>
      <c r="C8992">
        <v>1200000</v>
      </c>
      <c r="D8992">
        <v>1780</v>
      </c>
    </row>
    <row r="8993" spans="1:4" x14ac:dyDescent="0.25">
      <c r="A8993" t="str">
        <f>T("   870421")</f>
        <v xml:space="preserve">   870421</v>
      </c>
      <c r="B8993" t="s">
        <v>478</v>
      </c>
      <c r="C8993">
        <v>1200000</v>
      </c>
      <c r="D8993">
        <v>1780</v>
      </c>
    </row>
    <row r="8994" spans="1:4" x14ac:dyDescent="0.25">
      <c r="A8994" t="str">
        <f>T("SY")</f>
        <v>SY</v>
      </c>
      <c r="B8994" t="str">
        <f>T("Syrienne, République arabe")</f>
        <v>Syrienne, République arabe</v>
      </c>
    </row>
    <row r="8995" spans="1:4" x14ac:dyDescent="0.25">
      <c r="A8995" t="str">
        <f>T("   ZZ_Total_Produit_SH6")</f>
        <v xml:space="preserve">   ZZ_Total_Produit_SH6</v>
      </c>
      <c r="B8995" t="str">
        <f>T("   ZZ_Total_Produit_SH6")</f>
        <v xml:space="preserve">   ZZ_Total_Produit_SH6</v>
      </c>
      <c r="C8995">
        <v>138811702</v>
      </c>
      <c r="D8995">
        <v>150560</v>
      </c>
    </row>
    <row r="8996" spans="1:4" x14ac:dyDescent="0.25">
      <c r="A8996" t="str">
        <f>T("   391910")</f>
        <v xml:space="preserve">   391910</v>
      </c>
      <c r="B8996"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8996">
        <v>3252250</v>
      </c>
      <c r="D8996">
        <v>7135</v>
      </c>
    </row>
    <row r="8997" spans="1:4" x14ac:dyDescent="0.25">
      <c r="A8997" t="str">
        <f>T("   391990")</f>
        <v xml:space="preserve">   391990</v>
      </c>
      <c r="B8997" t="s">
        <v>127</v>
      </c>
      <c r="C8997">
        <v>69532</v>
      </c>
      <c r="D8997">
        <v>155</v>
      </c>
    </row>
    <row r="8998" spans="1:4" x14ac:dyDescent="0.25">
      <c r="A8998" t="str">
        <f>T("   392690")</f>
        <v xml:space="preserve">   392690</v>
      </c>
      <c r="B8998" t="str">
        <f>T("   Ouvrages en matières plastiques et ouvrages en autres matières du n° 3901 à 3914, n.d.a.")</f>
        <v xml:space="preserve">   Ouvrages en matières plastiques et ouvrages en autres matières du n° 3901 à 3914, n.d.a.</v>
      </c>
      <c r="C8998">
        <v>358811</v>
      </c>
      <c r="D8998">
        <v>780</v>
      </c>
    </row>
    <row r="8999" spans="1:4" x14ac:dyDescent="0.25">
      <c r="A8999" t="str">
        <f>T("   551219")</f>
        <v xml:space="preserve">   551219</v>
      </c>
      <c r="B8999"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8999">
        <v>29689047</v>
      </c>
      <c r="D8999">
        <v>59200</v>
      </c>
    </row>
    <row r="9000" spans="1:4" x14ac:dyDescent="0.25">
      <c r="A9000" t="str">
        <f>T("   551333")</f>
        <v xml:space="preserve">   551333</v>
      </c>
      <c r="B9000" t="s">
        <v>228</v>
      </c>
      <c r="C9000">
        <v>2688124</v>
      </c>
      <c r="D9000">
        <v>6320</v>
      </c>
    </row>
    <row r="9001" spans="1:4" x14ac:dyDescent="0.25">
      <c r="A9001" t="str">
        <f>T("   570320")</f>
        <v xml:space="preserve">   570320</v>
      </c>
      <c r="B9001" t="str">
        <f>T("   Tapis et autres revêtements de sol, de nylon ou d'autres polyamides, touffetés, même confectionnés")</f>
        <v xml:space="preserve">   Tapis et autres revêtements de sol, de nylon ou d'autres polyamides, touffetés, même confectionnés</v>
      </c>
      <c r="C9001">
        <v>1322047</v>
      </c>
      <c r="D9001">
        <v>7770</v>
      </c>
    </row>
    <row r="9002" spans="1:4" x14ac:dyDescent="0.25">
      <c r="A9002" t="str">
        <f>T("   630399")</f>
        <v xml:space="preserve">   630399</v>
      </c>
      <c r="B9002"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9002">
        <v>8474524</v>
      </c>
      <c r="D9002">
        <v>23688</v>
      </c>
    </row>
    <row r="9003" spans="1:4" x14ac:dyDescent="0.25">
      <c r="A9003" t="str">
        <f>T("   830241")</f>
        <v xml:space="preserve">   830241</v>
      </c>
      <c r="B9003"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9003">
        <v>1129606</v>
      </c>
      <c r="D9003">
        <v>3522</v>
      </c>
    </row>
    <row r="9004" spans="1:4" x14ac:dyDescent="0.25">
      <c r="A9004" t="str">
        <f>T("   940169")</f>
        <v xml:space="preserve">   940169</v>
      </c>
      <c r="B9004" t="str">
        <f>T("   Sièges, avec bâti en bois, non rembourrés")</f>
        <v xml:space="preserve">   Sièges, avec bâti en bois, non rembourrés</v>
      </c>
      <c r="C9004">
        <v>215155</v>
      </c>
      <c r="D9004">
        <v>150</v>
      </c>
    </row>
    <row r="9005" spans="1:4" x14ac:dyDescent="0.25">
      <c r="A9005" t="str">
        <f>T("   940180")</f>
        <v xml:space="preserve">   940180</v>
      </c>
      <c r="B9005" t="str">
        <f>T("   Sièges, n.d.a.")</f>
        <v xml:space="preserve">   Sièges, n.d.a.</v>
      </c>
      <c r="C9005">
        <v>6673991</v>
      </c>
      <c r="D9005">
        <v>10729</v>
      </c>
    </row>
    <row r="9006" spans="1:4" x14ac:dyDescent="0.25">
      <c r="A9006" t="str">
        <f>T("   940190")</f>
        <v xml:space="preserve">   940190</v>
      </c>
      <c r="B9006" t="str">
        <f>T("   Parties de sièges, n.d.a.")</f>
        <v xml:space="preserve">   Parties de sièges, n.d.a.</v>
      </c>
      <c r="C9006">
        <v>9587</v>
      </c>
      <c r="D9006">
        <v>1</v>
      </c>
    </row>
    <row r="9007" spans="1:4" x14ac:dyDescent="0.25">
      <c r="A9007" t="str">
        <f>T("   940490")</f>
        <v xml:space="preserve">   940490</v>
      </c>
      <c r="B9007" t="s">
        <v>505</v>
      </c>
      <c r="C9007">
        <v>116482</v>
      </c>
      <c r="D9007">
        <v>1200</v>
      </c>
    </row>
    <row r="9008" spans="1:4" x14ac:dyDescent="0.25">
      <c r="A9008" t="str">
        <f>T("   940560")</f>
        <v xml:space="preserve">   940560</v>
      </c>
      <c r="B9008"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9008">
        <v>84750230</v>
      </c>
      <c r="D9008">
        <v>29870</v>
      </c>
    </row>
    <row r="9009" spans="1:4" x14ac:dyDescent="0.25">
      <c r="A9009" t="str">
        <f>T("   961420")</f>
        <v xml:space="preserve">   961420</v>
      </c>
      <c r="B9009" t="str">
        <f>T("   Pipes et têtes de pipes")</f>
        <v xml:space="preserve">   Pipes et têtes de pipes</v>
      </c>
      <c r="C9009">
        <v>62316</v>
      </c>
      <c r="D9009">
        <v>40</v>
      </c>
    </row>
    <row r="9010" spans="1:4" x14ac:dyDescent="0.25">
      <c r="A9010" t="str">
        <f>T("SZ")</f>
        <v>SZ</v>
      </c>
      <c r="B9010" t="str">
        <f>T("Swaziland")</f>
        <v>Swaziland</v>
      </c>
    </row>
    <row r="9011" spans="1:4" x14ac:dyDescent="0.25">
      <c r="A9011" t="str">
        <f>T("   ZZ_Total_Produit_SH6")</f>
        <v xml:space="preserve">   ZZ_Total_Produit_SH6</v>
      </c>
      <c r="B9011" t="str">
        <f>T("   ZZ_Total_Produit_SH6")</f>
        <v xml:space="preserve">   ZZ_Total_Produit_SH6</v>
      </c>
      <c r="C9011">
        <v>100858246</v>
      </c>
      <c r="D9011">
        <v>3863.91</v>
      </c>
    </row>
    <row r="9012" spans="1:4" x14ac:dyDescent="0.25">
      <c r="A9012" t="str">
        <f>T("   300220")</f>
        <v xml:space="preserve">   300220</v>
      </c>
      <c r="B9012" t="str">
        <f>T("   Vaccins pour la médecine humaine")</f>
        <v xml:space="preserve">   Vaccins pour la médecine humaine</v>
      </c>
      <c r="C9012">
        <v>58222288</v>
      </c>
      <c r="D9012">
        <v>308</v>
      </c>
    </row>
    <row r="9013" spans="1:4" x14ac:dyDescent="0.25">
      <c r="A9013" t="str">
        <f>T("   300490")</f>
        <v xml:space="preserve">   300490</v>
      </c>
      <c r="B9013" t="s">
        <v>79</v>
      </c>
      <c r="C9013">
        <v>12790017</v>
      </c>
      <c r="D9013">
        <v>898.8</v>
      </c>
    </row>
    <row r="9014" spans="1:4" x14ac:dyDescent="0.25">
      <c r="A9014" t="str">
        <f>T("   392329")</f>
        <v xml:space="preserve">   392329</v>
      </c>
      <c r="B9014" t="str">
        <f>T("   Sacs, sachets, pochettes et cornets, en matières plastiques (autres que les polymères de l'éthylène)")</f>
        <v xml:space="preserve">   Sacs, sachets, pochettes et cornets, en matières plastiques (autres que les polymères de l'éthylène)</v>
      </c>
      <c r="C9014">
        <v>409722</v>
      </c>
      <c r="D9014">
        <v>125</v>
      </c>
    </row>
    <row r="9015" spans="1:4" x14ac:dyDescent="0.25">
      <c r="A9015" t="str">
        <f>T("   830790")</f>
        <v xml:space="preserve">   830790</v>
      </c>
      <c r="B9015" t="str">
        <f>T("   Tuyaux flexibles en métaux communs autres que le fer ou l'acier, même avec accessoires")</f>
        <v xml:space="preserve">   Tuyaux flexibles en métaux communs autres que le fer ou l'acier, même avec accessoires</v>
      </c>
      <c r="C9015">
        <v>627452</v>
      </c>
      <c r="D9015">
        <v>30</v>
      </c>
    </row>
    <row r="9016" spans="1:4" x14ac:dyDescent="0.25">
      <c r="A9016" t="str">
        <f>T("   842951")</f>
        <v xml:space="preserve">   842951</v>
      </c>
      <c r="B9016" t="str">
        <f>T("   Chargeuses et chargeuses-pelleteuses, à chargement frontal, autopropulsées")</f>
        <v xml:space="preserve">   Chargeuses et chargeuses-pelleteuses, à chargement frontal, autopropulsées</v>
      </c>
      <c r="C9016">
        <v>5951391</v>
      </c>
      <c r="D9016">
        <v>192</v>
      </c>
    </row>
    <row r="9017" spans="1:4" x14ac:dyDescent="0.25">
      <c r="A9017" t="str">
        <f>T("   843149")</f>
        <v xml:space="preserve">   843149</v>
      </c>
      <c r="B9017" t="str">
        <f>T("   Parties de machines et appareils du n° 8426, 8429 ou 8430, n.d.a.")</f>
        <v xml:space="preserve">   Parties de machines et appareils du n° 8426, 8429 ou 8430, n.d.a.</v>
      </c>
      <c r="C9017">
        <v>20296043</v>
      </c>
      <c r="D9017">
        <v>938</v>
      </c>
    </row>
    <row r="9018" spans="1:4" x14ac:dyDescent="0.25">
      <c r="A9018" t="str">
        <f>T("   847190")</f>
        <v xml:space="preserve">   847190</v>
      </c>
      <c r="B9018"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018">
        <v>338613</v>
      </c>
      <c r="D9018">
        <v>3.11</v>
      </c>
    </row>
    <row r="9019" spans="1:4" x14ac:dyDescent="0.25">
      <c r="A9019" t="str">
        <f>T("   848490")</f>
        <v xml:space="preserve">   848490</v>
      </c>
      <c r="B9019" t="str">
        <f>T("   Jeux ou assortiments de joints de composition différente présentés en pochettes, enveloppes ou emballages analogues")</f>
        <v xml:space="preserve">   Jeux ou assortiments de joints de composition différente présentés en pochettes, enveloppes ou emballages analogues</v>
      </c>
      <c r="C9019">
        <v>284831</v>
      </c>
      <c r="D9019">
        <v>90</v>
      </c>
    </row>
    <row r="9020" spans="1:4" x14ac:dyDescent="0.25">
      <c r="A9020" t="str">
        <f>T("   853710")</f>
        <v xml:space="preserve">   853710</v>
      </c>
      <c r="B9020"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9020">
        <v>737889</v>
      </c>
      <c r="D9020">
        <v>9</v>
      </c>
    </row>
    <row r="9021" spans="1:4" x14ac:dyDescent="0.25">
      <c r="A9021" t="str">
        <f>T("   870322")</f>
        <v xml:space="preserve">   870322</v>
      </c>
      <c r="B9021" t="s">
        <v>472</v>
      </c>
      <c r="C9021">
        <v>1200000</v>
      </c>
      <c r="D9021">
        <v>1270</v>
      </c>
    </row>
    <row r="9022" spans="1:4" x14ac:dyDescent="0.25">
      <c r="A9022" t="str">
        <f>T("TC")</f>
        <v>TC</v>
      </c>
      <c r="B9022" t="str">
        <f>T("Turks et Caïques, îles")</f>
        <v>Turks et Caïques, îles</v>
      </c>
    </row>
    <row r="9023" spans="1:4" x14ac:dyDescent="0.25">
      <c r="A9023" t="str">
        <f>T("   ZZ_Total_Produit_SH6")</f>
        <v xml:space="preserve">   ZZ_Total_Produit_SH6</v>
      </c>
      <c r="B9023" t="str">
        <f>T("   ZZ_Total_Produit_SH6")</f>
        <v xml:space="preserve">   ZZ_Total_Produit_SH6</v>
      </c>
      <c r="C9023">
        <v>30337494</v>
      </c>
      <c r="D9023">
        <v>108050</v>
      </c>
    </row>
    <row r="9024" spans="1:4" x14ac:dyDescent="0.25">
      <c r="A9024" t="str">
        <f>T("   190219")</f>
        <v xml:space="preserve">   190219</v>
      </c>
      <c r="B9024" t="str">
        <f>T("   PÂTES ALIMENTAIRES NON-CUITES NI FARCIES NI AUTREMENT PRÉPARÉES, NE CONTENANT PAS D'OEUFS")</f>
        <v xml:space="preserve">   PÂTES ALIMENTAIRES NON-CUITES NI FARCIES NI AUTREMENT PRÉPARÉES, NE CONTENANT PAS D'OEUFS</v>
      </c>
      <c r="C9024">
        <v>29268279</v>
      </c>
      <c r="D9024">
        <v>106000</v>
      </c>
    </row>
    <row r="9025" spans="1:4" x14ac:dyDescent="0.25">
      <c r="A9025" t="str">
        <f>T("   620590")</f>
        <v xml:space="preserve">   620590</v>
      </c>
      <c r="B902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025">
        <v>1069215</v>
      </c>
      <c r="D9025">
        <v>2050</v>
      </c>
    </row>
    <row r="9026" spans="1:4" x14ac:dyDescent="0.25">
      <c r="A9026" t="str">
        <f>T("TG")</f>
        <v>TG</v>
      </c>
      <c r="B9026" t="str">
        <f>T("Togo")</f>
        <v>Togo</v>
      </c>
    </row>
    <row r="9027" spans="1:4" x14ac:dyDescent="0.25">
      <c r="A9027" t="str">
        <f>T("   ZZ_Total_Produit_SH6")</f>
        <v xml:space="preserve">   ZZ_Total_Produit_SH6</v>
      </c>
      <c r="B9027" t="str">
        <f>T("   ZZ_Total_Produit_SH6")</f>
        <v xml:space="preserve">   ZZ_Total_Produit_SH6</v>
      </c>
      <c r="C9027">
        <v>116070065679.86301</v>
      </c>
      <c r="D9027">
        <v>301982379.55000001</v>
      </c>
    </row>
    <row r="9028" spans="1:4" x14ac:dyDescent="0.25">
      <c r="A9028" t="str">
        <f>T("   010310")</f>
        <v xml:space="preserve">   010310</v>
      </c>
      <c r="B9028" t="str">
        <f>T("   Porcins reproducteurs de race pure")</f>
        <v xml:space="preserve">   Porcins reproducteurs de race pure</v>
      </c>
      <c r="C9028">
        <v>66661</v>
      </c>
      <c r="D9028">
        <v>48</v>
      </c>
    </row>
    <row r="9029" spans="1:4" x14ac:dyDescent="0.25">
      <c r="A9029" t="str">
        <f>T("   020727")</f>
        <v xml:space="preserve">   020727</v>
      </c>
      <c r="B9029" t="str">
        <f>T("   Morceaux et abats comestibles de dindes et dindons [des espèces domestiques], congelés")</f>
        <v xml:space="preserve">   Morceaux et abats comestibles de dindes et dindons [des espèces domestiques], congelés</v>
      </c>
      <c r="C9029">
        <v>15000493</v>
      </c>
      <c r="D9029">
        <v>27000</v>
      </c>
    </row>
    <row r="9030" spans="1:4" x14ac:dyDescent="0.25">
      <c r="A9030" t="str">
        <f>T("   030199")</f>
        <v xml:space="preserve">   030199</v>
      </c>
      <c r="B9030" t="s">
        <v>15</v>
      </c>
      <c r="C9030">
        <v>859445</v>
      </c>
      <c r="D9030">
        <v>80</v>
      </c>
    </row>
    <row r="9031" spans="1:4" x14ac:dyDescent="0.25">
      <c r="A9031" t="str">
        <f>T("   040210")</f>
        <v xml:space="preserve">   040210</v>
      </c>
      <c r="B9031"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9031">
        <v>430747117</v>
      </c>
      <c r="D9031">
        <v>835005</v>
      </c>
    </row>
    <row r="9032" spans="1:4" x14ac:dyDescent="0.25">
      <c r="A9032" t="str">
        <f>T("   040221")</f>
        <v xml:space="preserve">   040221</v>
      </c>
      <c r="B9032"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9032">
        <v>853981856</v>
      </c>
      <c r="D9032">
        <v>365406</v>
      </c>
    </row>
    <row r="9033" spans="1:4" x14ac:dyDescent="0.25">
      <c r="A9033" t="str">
        <f>T("   040229")</f>
        <v xml:space="preserve">   040229</v>
      </c>
      <c r="B9033"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9033">
        <v>20104751</v>
      </c>
      <c r="D9033">
        <v>28800</v>
      </c>
    </row>
    <row r="9034" spans="1:4" x14ac:dyDescent="0.25">
      <c r="A9034" t="str">
        <f>T("   040291")</f>
        <v xml:space="preserve">   040291</v>
      </c>
      <c r="B9034"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9034">
        <v>13900994</v>
      </c>
      <c r="D9034">
        <v>32655</v>
      </c>
    </row>
    <row r="9035" spans="1:4" x14ac:dyDescent="0.25">
      <c r="A9035" t="str">
        <f>T("   040299")</f>
        <v xml:space="preserve">   040299</v>
      </c>
      <c r="B9035"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9035">
        <v>303960591</v>
      </c>
      <c r="D9035">
        <v>1055768</v>
      </c>
    </row>
    <row r="9036" spans="1:4" x14ac:dyDescent="0.25">
      <c r="A9036" t="str">
        <f>T("   040310")</f>
        <v xml:space="preserve">   040310</v>
      </c>
      <c r="B9036" t="str">
        <f>T("   Yoghourts, même additionnés de sucre ou d'autres édulcorants ou aromatisés ou additionnés de fruits ou de cacao")</f>
        <v xml:space="preserve">   Yoghourts, même additionnés de sucre ou d'autres édulcorants ou aromatisés ou additionnés de fruits ou de cacao</v>
      </c>
      <c r="C9036">
        <v>391215294</v>
      </c>
      <c r="D9036">
        <v>676587</v>
      </c>
    </row>
    <row r="9037" spans="1:4" x14ac:dyDescent="0.25">
      <c r="A9037" t="str">
        <f>T("   040390")</f>
        <v xml:space="preserve">   040390</v>
      </c>
      <c r="B9037"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9037">
        <v>153826841</v>
      </c>
      <c r="D9037">
        <v>349856</v>
      </c>
    </row>
    <row r="9038" spans="1:4" x14ac:dyDescent="0.25">
      <c r="A9038" t="str">
        <f>T("   040510")</f>
        <v xml:space="preserve">   040510</v>
      </c>
      <c r="B9038" t="str">
        <f>T("   Beurre (sauf beurre déshydraté et ghee)")</f>
        <v xml:space="preserve">   Beurre (sauf beurre déshydraté et ghee)</v>
      </c>
      <c r="C9038">
        <v>127030</v>
      </c>
      <c r="D9038">
        <v>1580</v>
      </c>
    </row>
    <row r="9039" spans="1:4" x14ac:dyDescent="0.25">
      <c r="A9039" t="str">
        <f>T("   040630")</f>
        <v xml:space="preserve">   040630</v>
      </c>
      <c r="B9039" t="str">
        <f>T("   Fromages fondus (à l'excl. des fromages râpés ou en poudre)")</f>
        <v xml:space="preserve">   Fromages fondus (à l'excl. des fromages râpés ou en poudre)</v>
      </c>
      <c r="C9039">
        <v>67500</v>
      </c>
      <c r="D9039">
        <v>50</v>
      </c>
    </row>
    <row r="9040" spans="1:4" x14ac:dyDescent="0.25">
      <c r="A9040" t="str">
        <f>T("   040690")</f>
        <v xml:space="preserve">   040690</v>
      </c>
      <c r="B9040" t="s">
        <v>18</v>
      </c>
      <c r="C9040">
        <v>7745000</v>
      </c>
      <c r="D9040">
        <v>16333</v>
      </c>
    </row>
    <row r="9041" spans="1:4" x14ac:dyDescent="0.25">
      <c r="A9041" t="str">
        <f>T("   040700")</f>
        <v xml:space="preserve">   040700</v>
      </c>
      <c r="B9041" t="str">
        <f>T("   Oeufs d'oiseaux, en coquilles, frais, conservés ou cuits")</f>
        <v xml:space="preserve">   Oeufs d'oiseaux, en coquilles, frais, conservés ou cuits</v>
      </c>
      <c r="C9041">
        <v>1028545</v>
      </c>
      <c r="D9041">
        <v>3800</v>
      </c>
    </row>
    <row r="9042" spans="1:4" x14ac:dyDescent="0.25">
      <c r="A9042" t="str">
        <f>T("   060110")</f>
        <v xml:space="preserve">   060110</v>
      </c>
      <c r="B9042" t="str">
        <f>T("   Bulbes, oignons, tubercules, racines tubéreuses, griffes et rhizomes, en repos végétatif (à l'excl. des produits servant à l'alimentation humaine ainsi que des plants, plantes et racines de chicorée)")</f>
        <v xml:space="preserve">   Bulbes, oignons, tubercules, racines tubéreuses, griffes et rhizomes, en repos végétatif (à l'excl. des produits servant à l'alimentation humaine ainsi que des plants, plantes et racines de chicorée)</v>
      </c>
      <c r="C9042">
        <v>1000000</v>
      </c>
      <c r="D9042">
        <v>28600</v>
      </c>
    </row>
    <row r="9043" spans="1:4" x14ac:dyDescent="0.25">
      <c r="A9043" t="str">
        <f>T("   060390")</f>
        <v xml:space="preserve">   060390</v>
      </c>
      <c r="B9043" t="str">
        <f>T("   Fleurs et boutons de fleurs, coupés, pour bouquets ou pour ornements, séchés, blanchis, teints, imprégnés ou autrement préparés")</f>
        <v xml:space="preserve">   Fleurs et boutons de fleurs, coupés, pour bouquets ou pour ornements, séchés, blanchis, teints, imprégnés ou autrement préparés</v>
      </c>
      <c r="C9043">
        <v>283998</v>
      </c>
      <c r="D9043">
        <v>110</v>
      </c>
    </row>
    <row r="9044" spans="1:4" x14ac:dyDescent="0.25">
      <c r="A9044" t="str">
        <f>T("   070190")</f>
        <v xml:space="preserve">   070190</v>
      </c>
      <c r="B9044" t="str">
        <f>T("   Pommes de terre, à l'état frais ou réfrigéré (à l'excl. des pommes de terre de semence)")</f>
        <v xml:space="preserve">   Pommes de terre, à l'état frais ou réfrigéré (à l'excl. des pommes de terre de semence)</v>
      </c>
      <c r="C9044">
        <v>65538</v>
      </c>
      <c r="D9044">
        <v>4700</v>
      </c>
    </row>
    <row r="9045" spans="1:4" x14ac:dyDescent="0.25">
      <c r="A9045" t="str">
        <f>T("   070320")</f>
        <v xml:space="preserve">   070320</v>
      </c>
      <c r="B9045" t="str">
        <f>T("   Aulx, à l'état frais ou réfrigéré")</f>
        <v xml:space="preserve">   Aulx, à l'état frais ou réfrigéré</v>
      </c>
      <c r="C9045">
        <v>10525639</v>
      </c>
      <c r="D9045">
        <v>31120</v>
      </c>
    </row>
    <row r="9046" spans="1:4" x14ac:dyDescent="0.25">
      <c r="A9046" t="str">
        <f>T("   070890")</f>
        <v xml:space="preserve">   070890</v>
      </c>
      <c r="B9046" t="str">
        <f>T("   Légumes à cosse, écossés ou non, à l'état frais ou réfrigéré (à l'excl. des pois 'Pisum sativum' et des haricots 'Vigna spp., Phaseolus spp.')")</f>
        <v xml:space="preserve">   Légumes à cosse, écossés ou non, à l'état frais ou réfrigéré (à l'excl. des pois 'Pisum sativum' et des haricots 'Vigna spp., Phaseolus spp.')</v>
      </c>
      <c r="C9046">
        <v>200000</v>
      </c>
      <c r="D9046">
        <v>675</v>
      </c>
    </row>
    <row r="9047" spans="1:4" x14ac:dyDescent="0.25">
      <c r="A9047" t="str">
        <f>T("   070960")</f>
        <v xml:space="preserve">   070960</v>
      </c>
      <c r="B9047" t="str">
        <f>T("   Piments du genre 'Capsicum' ou du genre 'Pimenta', à l'état frais ou réfrigéré")</f>
        <v xml:space="preserve">   Piments du genre 'Capsicum' ou du genre 'Pimenta', à l'état frais ou réfrigéré</v>
      </c>
      <c r="C9047">
        <v>1081377</v>
      </c>
      <c r="D9047">
        <v>25080</v>
      </c>
    </row>
    <row r="9048" spans="1:4" x14ac:dyDescent="0.25">
      <c r="A9048" t="str">
        <f>T("   071120")</f>
        <v xml:space="preserve">   071120</v>
      </c>
      <c r="B9048" t="str">
        <f>T("   Olives, conservées provisoirement [p.ex. au moyen de gaz sulfureux ou dans de l'eau salée, soufrée ou additionnée d'autres substances servant à assurer provisoirement leur conservation], mais impropres à l'alimentation en l'état")</f>
        <v xml:space="preserve">   Olives, conservées provisoirement [p.ex. au moyen de gaz sulfureux ou dans de l'eau salée, soufrée ou additionnée d'autres substances servant à assurer provisoirement leur conservation], mais impropres à l'alimentation en l'état</v>
      </c>
      <c r="C9048">
        <v>51719</v>
      </c>
      <c r="D9048">
        <v>2460</v>
      </c>
    </row>
    <row r="9049" spans="1:4" x14ac:dyDescent="0.25">
      <c r="A9049" t="str">
        <f>T("   071159")</f>
        <v xml:space="preserve">   071159</v>
      </c>
      <c r="B9049" t="s">
        <v>20</v>
      </c>
      <c r="C9049">
        <v>1284676</v>
      </c>
      <c r="D9049">
        <v>1896</v>
      </c>
    </row>
    <row r="9050" spans="1:4" x14ac:dyDescent="0.25">
      <c r="A9050" t="str">
        <f>T("   080111")</f>
        <v xml:space="preserve">   080111</v>
      </c>
      <c r="B9050" t="str">
        <f>T("   Noix de coco, desséchées")</f>
        <v xml:space="preserve">   Noix de coco, desséchées</v>
      </c>
      <c r="C9050">
        <v>153696134</v>
      </c>
      <c r="D9050">
        <v>29049511</v>
      </c>
    </row>
    <row r="9051" spans="1:4" x14ac:dyDescent="0.25">
      <c r="A9051" t="str">
        <f>T("   080290")</f>
        <v xml:space="preserve">   080290</v>
      </c>
      <c r="B9051"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9051">
        <v>130368</v>
      </c>
      <c r="D9051">
        <v>4300</v>
      </c>
    </row>
    <row r="9052" spans="1:4" x14ac:dyDescent="0.25">
      <c r="A9052" t="str">
        <f>T("   080300")</f>
        <v xml:space="preserve">   080300</v>
      </c>
      <c r="B9052" t="str">
        <f>T("   Bananes, y.c. les plantains, fraîches ou sèches")</f>
        <v xml:space="preserve">   Bananes, y.c. les plantains, fraîches ou sèches</v>
      </c>
      <c r="C9052">
        <v>6090019</v>
      </c>
      <c r="D9052">
        <v>278060</v>
      </c>
    </row>
    <row r="9053" spans="1:4" x14ac:dyDescent="0.25">
      <c r="A9053" t="str">
        <f>T("   080610")</f>
        <v xml:space="preserve">   080610</v>
      </c>
      <c r="B9053" t="str">
        <f>T("   Raisins, frais")</f>
        <v xml:space="preserve">   Raisins, frais</v>
      </c>
      <c r="C9053">
        <v>1367910</v>
      </c>
      <c r="D9053">
        <v>12840</v>
      </c>
    </row>
    <row r="9054" spans="1:4" x14ac:dyDescent="0.25">
      <c r="A9054" t="str">
        <f>T("   080810")</f>
        <v xml:space="preserve">   080810</v>
      </c>
      <c r="B9054" t="str">
        <f>T("   Pommes, fraîches")</f>
        <v xml:space="preserve">   Pommes, fraîches</v>
      </c>
      <c r="C9054">
        <v>13986486</v>
      </c>
      <c r="D9054">
        <v>178322</v>
      </c>
    </row>
    <row r="9055" spans="1:4" x14ac:dyDescent="0.25">
      <c r="A9055" t="str">
        <f>T("   090190")</f>
        <v xml:space="preserve">   090190</v>
      </c>
      <c r="B9055" t="str">
        <f>T("   Coques et pellicules de café; succédanés du café contenant du café, quelles que soient les proportions du mélange")</f>
        <v xml:space="preserve">   Coques et pellicules de café; succédanés du café contenant du café, quelles que soient les proportions du mélange</v>
      </c>
      <c r="C9055">
        <v>709421</v>
      </c>
      <c r="D9055">
        <v>2000</v>
      </c>
    </row>
    <row r="9056" spans="1:4" x14ac:dyDescent="0.25">
      <c r="A9056" t="str">
        <f>T("   090240")</f>
        <v xml:space="preserve">   090240</v>
      </c>
      <c r="B9056" t="s">
        <v>25</v>
      </c>
      <c r="C9056">
        <v>407273</v>
      </c>
      <c r="D9056">
        <v>1178</v>
      </c>
    </row>
    <row r="9057" spans="1:4" x14ac:dyDescent="0.25">
      <c r="A9057" t="str">
        <f>T("   100590")</f>
        <v xml:space="preserve">   100590</v>
      </c>
      <c r="B9057" t="str">
        <f>T("   Maïs (autre que de semence)")</f>
        <v xml:space="preserve">   Maïs (autre que de semence)</v>
      </c>
      <c r="C9057">
        <v>21348622</v>
      </c>
      <c r="D9057">
        <v>212250</v>
      </c>
    </row>
    <row r="9058" spans="1:4" x14ac:dyDescent="0.25">
      <c r="A9058" t="str">
        <f>T("   100610")</f>
        <v xml:space="preserve">   100610</v>
      </c>
      <c r="B9058" t="str">
        <f>T("   Riz en paille [riz paddy]")</f>
        <v xml:space="preserve">   Riz en paille [riz paddy]</v>
      </c>
      <c r="C9058">
        <v>315131</v>
      </c>
      <c r="D9058">
        <v>900</v>
      </c>
    </row>
    <row r="9059" spans="1:4" x14ac:dyDescent="0.25">
      <c r="A9059" t="str">
        <f>T("   100630")</f>
        <v xml:space="preserve">   100630</v>
      </c>
      <c r="B9059" t="str">
        <f>T("   Riz semi-blanchi ou blanchi, même poli ou glacé")</f>
        <v xml:space="preserve">   Riz semi-blanchi ou blanchi, même poli ou glacé</v>
      </c>
      <c r="C9059">
        <v>12789222.543</v>
      </c>
      <c r="D9059">
        <v>50000</v>
      </c>
    </row>
    <row r="9060" spans="1:4" x14ac:dyDescent="0.25">
      <c r="A9060" t="str">
        <f>T("   110100")</f>
        <v xml:space="preserve">   110100</v>
      </c>
      <c r="B9060" t="str">
        <f>T("   Farines de froment [blé] ou de méteil")</f>
        <v xml:space="preserve">   Farines de froment [blé] ou de méteil</v>
      </c>
      <c r="C9060">
        <v>82187876.361000001</v>
      </c>
      <c r="D9060">
        <v>305625</v>
      </c>
    </row>
    <row r="9061" spans="1:4" x14ac:dyDescent="0.25">
      <c r="A9061" t="str">
        <f>T("   110290")</f>
        <v xml:space="preserve">   110290</v>
      </c>
      <c r="B9061" t="str">
        <f>T("   FARINES DE CÉRÉALES (À L'EXCL. DES FARINES DE FROMENT [BLÉ], DE MÉTEIL, DE SEIGLE ET DE MAÏS)")</f>
        <v xml:space="preserve">   FARINES DE CÉRÉALES (À L'EXCL. DES FARINES DE FROMENT [BLÉ], DE MÉTEIL, DE SEIGLE ET DE MAÏS)</v>
      </c>
      <c r="C9061">
        <v>6867779</v>
      </c>
      <c r="D9061">
        <v>28120</v>
      </c>
    </row>
    <row r="9062" spans="1:4" x14ac:dyDescent="0.25">
      <c r="A9062" t="str">
        <f>T("   110422")</f>
        <v xml:space="preserve">   110422</v>
      </c>
      <c r="B9062" t="str">
        <f>T("   Grains d'avoine, mondés, perlés, tranchés, concassés ou autrement travaillés (à l'excl. de la farine d'avoine)")</f>
        <v xml:space="preserve">   Grains d'avoine, mondés, perlés, tranchés, concassés ou autrement travaillés (à l'excl. de la farine d'avoine)</v>
      </c>
      <c r="C9062">
        <v>5983764</v>
      </c>
      <c r="D9062">
        <v>8190</v>
      </c>
    </row>
    <row r="9063" spans="1:4" x14ac:dyDescent="0.25">
      <c r="A9063" t="str">
        <f>T("   120710")</f>
        <v xml:space="preserve">   120710</v>
      </c>
      <c r="B9063" t="str">
        <f>T("   NOIX ET AMANDES DE PALMISTES")</f>
        <v xml:space="preserve">   NOIX ET AMANDES DE PALMISTES</v>
      </c>
      <c r="C9063">
        <v>116234417</v>
      </c>
      <c r="D9063">
        <v>10687365</v>
      </c>
    </row>
    <row r="9064" spans="1:4" x14ac:dyDescent="0.25">
      <c r="A9064" t="str">
        <f>T("   121190")</f>
        <v xml:space="preserve">   121190</v>
      </c>
      <c r="B9064" t="s">
        <v>31</v>
      </c>
      <c r="C9064">
        <v>2076992</v>
      </c>
      <c r="D9064">
        <v>123590</v>
      </c>
    </row>
    <row r="9065" spans="1:4" x14ac:dyDescent="0.25">
      <c r="A9065" t="str">
        <f>T("   130213")</f>
        <v xml:space="preserve">   130213</v>
      </c>
      <c r="B9065" t="str">
        <f>T("   Extraits de houblon")</f>
        <v xml:space="preserve">   Extraits de houblon</v>
      </c>
      <c r="C9065">
        <v>5882796</v>
      </c>
      <c r="D9065">
        <v>300</v>
      </c>
    </row>
    <row r="9066" spans="1:4" x14ac:dyDescent="0.25">
      <c r="A9066" t="str">
        <f>T("   140410")</f>
        <v xml:space="preserve">   140410</v>
      </c>
      <c r="B9066" t="str">
        <f>T("   Matières premières végétales des espèces principalement utilisées pour la teinture ou le tannage, n.d.a.")</f>
        <v xml:space="preserve">   Matières premières végétales des espèces principalement utilisées pour la teinture ou le tannage, n.d.a.</v>
      </c>
      <c r="C9066">
        <v>700000</v>
      </c>
      <c r="D9066">
        <v>21100</v>
      </c>
    </row>
    <row r="9067" spans="1:4" x14ac:dyDescent="0.25">
      <c r="A9067" t="str">
        <f>T("   150810")</f>
        <v xml:space="preserve">   150810</v>
      </c>
      <c r="B9067" t="str">
        <f>T("   Huile d'arachide, brute")</f>
        <v xml:space="preserve">   Huile d'arachide, brute</v>
      </c>
      <c r="C9067">
        <v>87250</v>
      </c>
      <c r="D9067">
        <v>349</v>
      </c>
    </row>
    <row r="9068" spans="1:4" x14ac:dyDescent="0.25">
      <c r="A9068" t="str">
        <f>T("   150890")</f>
        <v xml:space="preserve">   150890</v>
      </c>
      <c r="B9068" t="str">
        <f>T("   Huile d'arachide et ses fractions, même raffinées, mais non chimiquement modifiées (à l'excl. de l'huile d'arachide brute)")</f>
        <v xml:space="preserve">   Huile d'arachide et ses fractions, même raffinées, mais non chimiquement modifiées (à l'excl. de l'huile d'arachide brute)</v>
      </c>
      <c r="C9068">
        <v>3744633.2820000001</v>
      </c>
      <c r="D9068">
        <v>9684</v>
      </c>
    </row>
    <row r="9069" spans="1:4" x14ac:dyDescent="0.25">
      <c r="A9069" t="str">
        <f>T("   150910")</f>
        <v xml:space="preserve">   150910</v>
      </c>
      <c r="B9069" t="str">
        <f>T("   Huile d'olive vierge et ses fractions, obtenues, à partir des fruits de l'olivier, uniquement par des procédés mécaniques ou physiques, dans des conditions n'altérant pas l'huile")</f>
        <v xml:space="preserve">   Huile d'olive vierge et ses fractions, obtenues, à partir des fruits de l'olivier, uniquement par des procédés mécaniques ou physiques, dans des conditions n'altérant pas l'huile</v>
      </c>
      <c r="C9069">
        <v>140001</v>
      </c>
      <c r="D9069">
        <v>920</v>
      </c>
    </row>
    <row r="9070" spans="1:4" x14ac:dyDescent="0.25">
      <c r="A9070" t="str">
        <f>T("   151000")</f>
        <v xml:space="preserve">   151000</v>
      </c>
      <c r="B9070" t="s">
        <v>33</v>
      </c>
      <c r="C9070">
        <v>2912798</v>
      </c>
      <c r="D9070">
        <v>815</v>
      </c>
    </row>
    <row r="9071" spans="1:4" x14ac:dyDescent="0.25">
      <c r="A9071" t="str">
        <f>T("   151110")</f>
        <v xml:space="preserve">   151110</v>
      </c>
      <c r="B9071" t="str">
        <f>T("   Huile de palme, brute")</f>
        <v xml:space="preserve">   Huile de palme, brute</v>
      </c>
      <c r="C9071">
        <v>22855529</v>
      </c>
      <c r="D9071">
        <v>193325</v>
      </c>
    </row>
    <row r="9072" spans="1:4" x14ac:dyDescent="0.25">
      <c r="A9072" t="str">
        <f>T("   151190")</f>
        <v xml:space="preserve">   151190</v>
      </c>
      <c r="B9072" t="str">
        <f>T("   Huile de palme et ses fractions, même raffinées, mais non chimiquement modifiées (à l'excl. de l'huile de palme brute)")</f>
        <v xml:space="preserve">   Huile de palme et ses fractions, même raffinées, mais non chimiquement modifiées (à l'excl. de l'huile de palme brute)</v>
      </c>
      <c r="C9072">
        <v>147620715.669</v>
      </c>
      <c r="D9072">
        <v>406095</v>
      </c>
    </row>
    <row r="9073" spans="1:4" x14ac:dyDescent="0.25">
      <c r="A9073" t="str">
        <f>T("   151229")</f>
        <v xml:space="preserve">   151229</v>
      </c>
      <c r="B9073" t="str">
        <f>T("   Huile de coton et ses fractions, même dépourvues de gossipol ou raffinées, mais non chimiquement modifiées (à l'excl. de l'huile de coton brute)")</f>
        <v xml:space="preserve">   Huile de coton et ses fractions, même dépourvues de gossipol ou raffinées, mais non chimiquement modifiées (à l'excl. de l'huile de coton brute)</v>
      </c>
      <c r="C9073">
        <v>118643379</v>
      </c>
      <c r="D9073">
        <v>508380</v>
      </c>
    </row>
    <row r="9074" spans="1:4" x14ac:dyDescent="0.25">
      <c r="A9074" t="str">
        <f>T("   151311")</f>
        <v xml:space="preserve">   151311</v>
      </c>
      <c r="B9074" t="str">
        <f>T("   Huile de coco [coprah], brute")</f>
        <v xml:space="preserve">   Huile de coco [coprah], brute</v>
      </c>
      <c r="C9074">
        <v>720492</v>
      </c>
      <c r="D9074">
        <v>4316.8999999999996</v>
      </c>
    </row>
    <row r="9075" spans="1:4" x14ac:dyDescent="0.25">
      <c r="A9075" t="str">
        <f>T("   151319")</f>
        <v xml:space="preserve">   151319</v>
      </c>
      <c r="B9075" t="str">
        <f>T("   Huile de coco [coprah] et ses fractions, même raffinées, mais non chimiquement modifiées (à l'excl. de l'huile de coco brute)")</f>
        <v xml:space="preserve">   Huile de coco [coprah] et ses fractions, même raffinées, mais non chimiquement modifiées (à l'excl. de l'huile de coco brute)</v>
      </c>
      <c r="C9075">
        <v>136150</v>
      </c>
      <c r="D9075">
        <v>2335</v>
      </c>
    </row>
    <row r="9076" spans="1:4" x14ac:dyDescent="0.25">
      <c r="A9076" t="str">
        <f>T("   151590")</f>
        <v xml:space="preserve">   151590</v>
      </c>
      <c r="B9076" t="s">
        <v>36</v>
      </c>
      <c r="C9076">
        <v>11797250</v>
      </c>
      <c r="D9076">
        <v>47189</v>
      </c>
    </row>
    <row r="9077" spans="1:4" x14ac:dyDescent="0.25">
      <c r="A9077" t="str">
        <f>T("   151620")</f>
        <v xml:space="preserve">   151620</v>
      </c>
      <c r="B9077"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9077">
        <v>88235287</v>
      </c>
      <c r="D9077">
        <v>424160</v>
      </c>
    </row>
    <row r="9078" spans="1:4" x14ac:dyDescent="0.25">
      <c r="A9078" t="str">
        <f>T("   151710")</f>
        <v xml:space="preserve">   151710</v>
      </c>
      <c r="B9078" t="str">
        <f>T("   Margarine (à l'excl. de la margarine liquide)")</f>
        <v xml:space="preserve">   Margarine (à l'excl. de la margarine liquide)</v>
      </c>
      <c r="C9078">
        <v>5662903</v>
      </c>
      <c r="D9078">
        <v>38773</v>
      </c>
    </row>
    <row r="9079" spans="1:4" x14ac:dyDescent="0.25">
      <c r="A9079" t="str">
        <f>T("   152190")</f>
        <v xml:space="preserve">   152190</v>
      </c>
      <c r="B9079" t="str">
        <f>T("   Cires d'abeilles ou d'autres insectes et spermaceti, même raffinés ou colorés")</f>
        <v xml:space="preserve">   Cires d'abeilles ou d'autres insectes et spermaceti, même raffinés ou colorés</v>
      </c>
      <c r="C9079">
        <v>84157</v>
      </c>
      <c r="D9079">
        <v>400</v>
      </c>
    </row>
    <row r="9080" spans="1:4" x14ac:dyDescent="0.25">
      <c r="A9080" t="str">
        <f>T("   160100")</f>
        <v xml:space="preserve">   160100</v>
      </c>
      <c r="B9080" t="str">
        <f>T("   Saucisses, saucissons et produits simil., de viande, d'abats ou de sang; préparations alimentaires à base de ces produits")</f>
        <v xml:space="preserve">   Saucisses, saucissons et produits simil., de viande, d'abats ou de sang; préparations alimentaires à base de ces produits</v>
      </c>
      <c r="C9080">
        <v>152922</v>
      </c>
      <c r="D9080">
        <v>420</v>
      </c>
    </row>
    <row r="9081" spans="1:4" x14ac:dyDescent="0.25">
      <c r="A9081" t="str">
        <f>T("   160239")</f>
        <v xml:space="preserve">   160239</v>
      </c>
      <c r="B9081" t="s">
        <v>41</v>
      </c>
      <c r="C9081">
        <v>53400403</v>
      </c>
      <c r="D9081">
        <v>115188</v>
      </c>
    </row>
    <row r="9082" spans="1:4" x14ac:dyDescent="0.25">
      <c r="A9082" t="str">
        <f>T("   160241")</f>
        <v xml:space="preserve">   160241</v>
      </c>
      <c r="B9082" t="str">
        <f>T("   Préparations et conserves de jambons et de morceaux de jambons des animaux de l'espèce porcine")</f>
        <v xml:space="preserve">   Préparations et conserves de jambons et de morceaux de jambons des animaux de l'espèce porcine</v>
      </c>
      <c r="C9082">
        <v>163845</v>
      </c>
      <c r="D9082">
        <v>900</v>
      </c>
    </row>
    <row r="9083" spans="1:4" x14ac:dyDescent="0.25">
      <c r="A9083" t="str">
        <f>T("   160249")</f>
        <v xml:space="preserve">   160249</v>
      </c>
      <c r="B9083" t="s">
        <v>42</v>
      </c>
      <c r="C9083">
        <v>43692</v>
      </c>
      <c r="D9083">
        <v>420</v>
      </c>
    </row>
    <row r="9084" spans="1:4" x14ac:dyDescent="0.25">
      <c r="A9084" t="str">
        <f>T("   160413")</f>
        <v xml:space="preserve">   160413</v>
      </c>
      <c r="B9084"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9084">
        <v>95331688</v>
      </c>
      <c r="D9084">
        <v>394810</v>
      </c>
    </row>
    <row r="9085" spans="1:4" x14ac:dyDescent="0.25">
      <c r="A9085" t="str">
        <f>T("   160414")</f>
        <v xml:space="preserve">   160414</v>
      </c>
      <c r="B9085"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9085">
        <v>3277176</v>
      </c>
      <c r="D9085">
        <v>16500</v>
      </c>
    </row>
    <row r="9086" spans="1:4" x14ac:dyDescent="0.25">
      <c r="A9086" t="str">
        <f>T("   160415")</f>
        <v xml:space="preserve">   160415</v>
      </c>
      <c r="B9086" t="str">
        <f>T("   Préparations et conserves de maquereaux entiers ou en morceaux (à l'excl. des préparations et conserves de maquereaux hachés)")</f>
        <v xml:space="preserve">   Préparations et conserves de maquereaux entiers ou en morceaux (à l'excl. des préparations et conserves de maquereaux hachés)</v>
      </c>
      <c r="C9086">
        <v>523552</v>
      </c>
      <c r="D9086">
        <v>1200</v>
      </c>
    </row>
    <row r="9087" spans="1:4" x14ac:dyDescent="0.25">
      <c r="A9087" t="str">
        <f>T("   170111")</f>
        <v xml:space="preserve">   170111</v>
      </c>
      <c r="B9087" t="str">
        <f>T("   Sucres de canne, bruts, sans addition d'aromatisants ou de colorants")</f>
        <v xml:space="preserve">   Sucres de canne, bruts, sans addition d'aromatisants ou de colorants</v>
      </c>
      <c r="C9087">
        <v>262152</v>
      </c>
      <c r="D9087">
        <v>350</v>
      </c>
    </row>
    <row r="9088" spans="1:4" x14ac:dyDescent="0.25">
      <c r="A9088" t="str">
        <f>T("   170199")</f>
        <v xml:space="preserve">   170199</v>
      </c>
      <c r="B9088"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9088">
        <v>778297041.00800002</v>
      </c>
      <c r="D9088">
        <v>4792858</v>
      </c>
    </row>
    <row r="9089" spans="1:4" x14ac:dyDescent="0.25">
      <c r="A9089" t="str">
        <f>T("   170260")</f>
        <v xml:space="preserve">   170260</v>
      </c>
      <c r="B9089" t="str">
        <f>T("   Fructose, à l'état solide, et sirop de fructose, sans addition d'aromatisants ou de colorants, contenant en poids à l'état sec &gt; 50% de fructose (à l'excl. du fructose chimiquement pur et du sucre inverti [ou interverti])")</f>
        <v xml:space="preserve">   Fructose, à l'état solide, et sirop de fructose, sans addition d'aromatisants ou de colorants, contenant en poids à l'état sec &gt; 50% de fructose (à l'excl. du fructose chimiquement pur et du sucre inverti [ou interverti])</v>
      </c>
      <c r="C9089">
        <v>1095975</v>
      </c>
      <c r="D9089">
        <v>2900</v>
      </c>
    </row>
    <row r="9090" spans="1:4" x14ac:dyDescent="0.25">
      <c r="A9090" t="str">
        <f>T("   170410")</f>
        <v xml:space="preserve">   170410</v>
      </c>
      <c r="B9090" t="str">
        <f>T("   Gommes à mâcher [chewing-gum], même enrobées de sucre")</f>
        <v xml:space="preserve">   Gommes à mâcher [chewing-gum], même enrobées de sucre</v>
      </c>
      <c r="C9090">
        <v>84790611</v>
      </c>
      <c r="D9090">
        <v>345208</v>
      </c>
    </row>
    <row r="9091" spans="1:4" x14ac:dyDescent="0.25">
      <c r="A9091" t="str">
        <f>T("   170490")</f>
        <v xml:space="preserve">   170490</v>
      </c>
      <c r="B9091" t="str">
        <f>T("   Sucreries sans cacao, y.c. le chocolat blanc (à l'excl. des gommes à mâcher)")</f>
        <v xml:space="preserve">   Sucreries sans cacao, y.c. le chocolat blanc (à l'excl. des gommes à mâcher)</v>
      </c>
      <c r="C9091">
        <v>294424600</v>
      </c>
      <c r="D9091">
        <v>1487104</v>
      </c>
    </row>
    <row r="9092" spans="1:4" x14ac:dyDescent="0.25">
      <c r="A9092" t="str">
        <f>T("   180200")</f>
        <v xml:space="preserve">   180200</v>
      </c>
      <c r="B9092" t="str">
        <f>T("   Coques, pellicules [pelures] et autres déchets de cacao")</f>
        <v xml:space="preserve">   Coques, pellicules [pelures] et autres déchets de cacao</v>
      </c>
      <c r="C9092">
        <v>17111748</v>
      </c>
      <c r="D9092">
        <v>1056974</v>
      </c>
    </row>
    <row r="9093" spans="1:4" x14ac:dyDescent="0.25">
      <c r="A9093" t="str">
        <f>T("   180610")</f>
        <v xml:space="preserve">   180610</v>
      </c>
      <c r="B9093" t="str">
        <f>T("   Poudre de cacao, additionnée de sucre ou d'autres édulcorants")</f>
        <v xml:space="preserve">   Poudre de cacao, additionnée de sucre ou d'autres édulcorants</v>
      </c>
      <c r="C9093">
        <v>2831983</v>
      </c>
      <c r="D9093">
        <v>25435</v>
      </c>
    </row>
    <row r="9094" spans="1:4" x14ac:dyDescent="0.25">
      <c r="A9094" t="str">
        <f>T("   180620")</f>
        <v xml:space="preserve">   180620</v>
      </c>
      <c r="B9094" t="s">
        <v>47</v>
      </c>
      <c r="C9094">
        <v>145863</v>
      </c>
      <c r="D9094">
        <v>900</v>
      </c>
    </row>
    <row r="9095" spans="1:4" x14ac:dyDescent="0.25">
      <c r="A9095" t="str">
        <f>T("   180632")</f>
        <v xml:space="preserve">   180632</v>
      </c>
      <c r="B9095"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9095">
        <v>19382492</v>
      </c>
      <c r="D9095">
        <v>67180</v>
      </c>
    </row>
    <row r="9096" spans="1:4" x14ac:dyDescent="0.25">
      <c r="A9096" t="str">
        <f>T("   180690")</f>
        <v xml:space="preserve">   180690</v>
      </c>
      <c r="B9096"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9096">
        <v>90240900</v>
      </c>
      <c r="D9096">
        <v>66380</v>
      </c>
    </row>
    <row r="9097" spans="1:4" x14ac:dyDescent="0.25">
      <c r="A9097" t="str">
        <f>T("   190110")</f>
        <v xml:space="preserve">   190110</v>
      </c>
      <c r="B9097" t="s">
        <v>48</v>
      </c>
      <c r="C9097">
        <v>157712712</v>
      </c>
      <c r="D9097">
        <v>119562</v>
      </c>
    </row>
    <row r="9098" spans="1:4" x14ac:dyDescent="0.25">
      <c r="A9098" t="str">
        <f>T("   190190")</f>
        <v xml:space="preserve">   190190</v>
      </c>
      <c r="B9098" t="s">
        <v>50</v>
      </c>
      <c r="C9098">
        <v>219565805</v>
      </c>
      <c r="D9098">
        <v>579146</v>
      </c>
    </row>
    <row r="9099" spans="1:4" x14ac:dyDescent="0.25">
      <c r="A9099" t="str">
        <f>T("   190219")</f>
        <v xml:space="preserve">   190219</v>
      </c>
      <c r="B9099" t="str">
        <f>T("   PÂTES ALIMENTAIRES NON-CUITES NI FARCIES NI AUTREMENT PRÉPARÉES, NE CONTENANT PAS D'OEUFS")</f>
        <v xml:space="preserve">   PÂTES ALIMENTAIRES NON-CUITES NI FARCIES NI AUTREMENT PRÉPARÉES, NE CONTENANT PAS D'OEUFS</v>
      </c>
      <c r="C9099">
        <v>1011721358</v>
      </c>
      <c r="D9099">
        <v>5361759</v>
      </c>
    </row>
    <row r="9100" spans="1:4" x14ac:dyDescent="0.25">
      <c r="A9100" t="str">
        <f>T("   190230")</f>
        <v xml:space="preserve">   190230</v>
      </c>
      <c r="B9100" t="str">
        <f>T("   Pâtes alimentaires, cuites ou autrement préparées (à l'excl. des pâtes alimentaires farcies)")</f>
        <v xml:space="preserve">   Pâtes alimentaires, cuites ou autrement préparées (à l'excl. des pâtes alimentaires farcies)</v>
      </c>
      <c r="C9100">
        <v>277617100</v>
      </c>
      <c r="D9100">
        <v>1738777</v>
      </c>
    </row>
    <row r="9101" spans="1:4" x14ac:dyDescent="0.25">
      <c r="A9101" t="str">
        <f>T("   190240")</f>
        <v xml:space="preserve">   190240</v>
      </c>
      <c r="B9101" t="str">
        <f>T("   Couscous, même préparé")</f>
        <v xml:space="preserve">   Couscous, même préparé</v>
      </c>
      <c r="C9101">
        <v>54628612</v>
      </c>
      <c r="D9101">
        <v>160767</v>
      </c>
    </row>
    <row r="9102" spans="1:4" x14ac:dyDescent="0.25">
      <c r="A9102" t="str">
        <f>T("   190410")</f>
        <v xml:space="preserve">   190410</v>
      </c>
      <c r="B9102" t="str">
        <f>T("   PRODUITS À BASE DE CÉRÉALES OBTENUS PAR SOUFFLAGE OU GRILLAGE [CORN FLAKES, P.EX.]")</f>
        <v xml:space="preserve">   PRODUITS À BASE DE CÉRÉALES OBTENUS PAR SOUFFLAGE OU GRILLAGE [CORN FLAKES, P.EX.]</v>
      </c>
      <c r="C9102">
        <v>2931356</v>
      </c>
      <c r="D9102">
        <v>2420</v>
      </c>
    </row>
    <row r="9103" spans="1:4" x14ac:dyDescent="0.25">
      <c r="A9103" t="str">
        <f>T("   190530")</f>
        <v xml:space="preserve">   190530</v>
      </c>
      <c r="B9103" t="str">
        <f>T("   BISCUITS ADDITIONNES D'EDULCORANTS, GAUFRES ET GAUFRETTES, MÊME ADDITIONNES DE CACAO (À L'EXCL. DES GAUFRES ET GAUFRETTES AYANT UNE TENEUR EN EAU &gt; 10%)")</f>
        <v xml:space="preserve">   BISCUITS ADDITIONNES D'EDULCORANTS, GAUFRES ET GAUFRETTES, MÊME ADDITIONNES DE CACAO (À L'EXCL. DES GAUFRES ET GAUFRETTES AYANT UNE TENEUR EN EAU &gt; 10%)</v>
      </c>
      <c r="C9103">
        <v>270124</v>
      </c>
      <c r="D9103">
        <v>3070</v>
      </c>
    </row>
    <row r="9104" spans="1:4" x14ac:dyDescent="0.25">
      <c r="A9104" t="str">
        <f>T("   190531")</f>
        <v xml:space="preserve">   190531</v>
      </c>
      <c r="B9104" t="str">
        <f>T("   Biscuits additionnés d'édulcorants")</f>
        <v xml:space="preserve">   Biscuits additionnés d'édulcorants</v>
      </c>
      <c r="C9104">
        <v>2148951</v>
      </c>
      <c r="D9104">
        <v>14400</v>
      </c>
    </row>
    <row r="9105" spans="1:4" x14ac:dyDescent="0.25">
      <c r="A9105" t="str">
        <f>T("   190590")</f>
        <v xml:space="preserve">   190590</v>
      </c>
      <c r="B9105" t="s">
        <v>52</v>
      </c>
      <c r="C9105">
        <v>47276932</v>
      </c>
      <c r="D9105">
        <v>204035</v>
      </c>
    </row>
    <row r="9106" spans="1:4" x14ac:dyDescent="0.25">
      <c r="A9106" t="str">
        <f>T("   200290")</f>
        <v xml:space="preserve">   200290</v>
      </c>
      <c r="B9106"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9106">
        <v>1323116784</v>
      </c>
      <c r="D9106">
        <v>5449049.4000000004</v>
      </c>
    </row>
    <row r="9107" spans="1:4" x14ac:dyDescent="0.25">
      <c r="A9107" t="str">
        <f>T("   200540")</f>
        <v xml:space="preserve">   200540</v>
      </c>
      <c r="B9107" t="str">
        <f>T("   Pois [Pisum sativum], préparés ou conservés autrement qu'au vinaigre ou à l'acide acétique, non congelés")</f>
        <v xml:space="preserve">   Pois [Pisum sativum], préparés ou conservés autrement qu'au vinaigre ou à l'acide acétique, non congelés</v>
      </c>
      <c r="C9107">
        <v>7969683</v>
      </c>
      <c r="D9107">
        <v>45020</v>
      </c>
    </row>
    <row r="9108" spans="1:4" x14ac:dyDescent="0.25">
      <c r="A9108" t="str">
        <f>T("   200559")</f>
        <v xml:space="preserve">   200559</v>
      </c>
      <c r="B9108"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9108">
        <v>16669303</v>
      </c>
      <c r="D9108">
        <v>100513</v>
      </c>
    </row>
    <row r="9109" spans="1:4" x14ac:dyDescent="0.25">
      <c r="A9109" t="str">
        <f>T("   200580")</f>
        <v xml:space="preserve">   200580</v>
      </c>
      <c r="B9109" t="str">
        <f>T("   Maïs doux [Zea mays var. saccharata], préparé ou conservé autrement qu'au vinaigre ou à l'acide acétique, non congelé")</f>
        <v xml:space="preserve">   Maïs doux [Zea mays var. saccharata], préparé ou conservé autrement qu'au vinaigre ou à l'acide acétique, non congelé</v>
      </c>
      <c r="C9109">
        <v>324149</v>
      </c>
      <c r="D9109">
        <v>5140</v>
      </c>
    </row>
    <row r="9110" spans="1:4" x14ac:dyDescent="0.25">
      <c r="A9110" t="str">
        <f>T("   200590")</f>
        <v xml:space="preserve">   200590</v>
      </c>
      <c r="B9110" t="s">
        <v>53</v>
      </c>
      <c r="C9110">
        <v>324149</v>
      </c>
      <c r="D9110">
        <v>640</v>
      </c>
    </row>
    <row r="9111" spans="1:4" x14ac:dyDescent="0.25">
      <c r="A9111" t="str">
        <f>T("   200710")</f>
        <v xml:space="preserve">   200710</v>
      </c>
      <c r="B9111" t="s">
        <v>54</v>
      </c>
      <c r="C9111">
        <v>2194338</v>
      </c>
      <c r="D9111">
        <v>15437</v>
      </c>
    </row>
    <row r="9112" spans="1:4" x14ac:dyDescent="0.25">
      <c r="A9112" t="str">
        <f>T("   200811")</f>
        <v xml:space="preserve">   200811</v>
      </c>
      <c r="B9112" t="str">
        <f>T("   Arachides, préparées ou conservées (sauf confites au sucre)")</f>
        <v xml:space="preserve">   Arachides, préparées ou conservées (sauf confites au sucre)</v>
      </c>
      <c r="C9112">
        <v>160957</v>
      </c>
      <c r="D9112">
        <v>360</v>
      </c>
    </row>
    <row r="9113" spans="1:4" x14ac:dyDescent="0.25">
      <c r="A9113" t="str">
        <f>T("   200850")</f>
        <v xml:space="preserve">   200850</v>
      </c>
      <c r="B9113" t="s">
        <v>57</v>
      </c>
      <c r="C9113">
        <v>12348</v>
      </c>
      <c r="D9113">
        <v>20</v>
      </c>
    </row>
    <row r="9114" spans="1:4" x14ac:dyDescent="0.25">
      <c r="A9114" t="str">
        <f>T("   200919")</f>
        <v xml:space="preserve">   200919</v>
      </c>
      <c r="B9114"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9114">
        <v>17796156</v>
      </c>
      <c r="D9114">
        <v>104690</v>
      </c>
    </row>
    <row r="9115" spans="1:4" x14ac:dyDescent="0.25">
      <c r="A9115" t="str">
        <f>T("   200929")</f>
        <v xml:space="preserve">   200929</v>
      </c>
      <c r="B9115" t="str">
        <f>T("   JUS DE PAMPLEMOUSSE OU DE POMELO, NON-FERMENTÉS, SANS ADDITION D'ALCOOL, AVEC OU SANS ADDITION DE SUCRE OU D'AUTRES ÉDULCORANTS, D'UNE VALEUR BRIX &gt; 20 À 20°C")</f>
        <v xml:space="preserve">   JUS DE PAMPLEMOUSSE OU DE POMELO, NON-FERMENTÉS, SANS ADDITION D'ALCOOL, AVEC OU SANS ADDITION DE SUCRE OU D'AUTRES ÉDULCORANTS, D'UNE VALEUR BRIX &gt; 20 À 20°C</v>
      </c>
      <c r="C9115">
        <v>4500000</v>
      </c>
      <c r="D9115">
        <v>31103</v>
      </c>
    </row>
    <row r="9116" spans="1:4" x14ac:dyDescent="0.25">
      <c r="A9116" t="str">
        <f>T("   200950")</f>
        <v xml:space="preserve">   200950</v>
      </c>
      <c r="B9116" t="str">
        <f>T("   JUS DE TOMATE, NON-FERMENTÉS, SANS ADDITION D'ALCOOL, AVEC OU SANS ADDITION DE SUCRE OU D'AUTRES ÉDULCORANTS")</f>
        <v xml:space="preserve">   JUS DE TOMATE, NON-FERMENTÉS, SANS ADDITION D'ALCOOL, AVEC OU SANS ADDITION DE SUCRE OU D'AUTRES ÉDULCORANTS</v>
      </c>
      <c r="C9116">
        <v>12386354</v>
      </c>
      <c r="D9116">
        <v>26740</v>
      </c>
    </row>
    <row r="9117" spans="1:4" x14ac:dyDescent="0.25">
      <c r="A9117" t="str">
        <f>T("   200980")</f>
        <v xml:space="preserve">   200980</v>
      </c>
      <c r="B9117"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9117">
        <v>13346850</v>
      </c>
      <c r="D9117">
        <v>66138</v>
      </c>
    </row>
    <row r="9118" spans="1:4" x14ac:dyDescent="0.25">
      <c r="A9118" t="str">
        <f>T("   200990")</f>
        <v xml:space="preserve">   200990</v>
      </c>
      <c r="B9118"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9118">
        <v>5745256</v>
      </c>
      <c r="D9118">
        <v>45960</v>
      </c>
    </row>
    <row r="9119" spans="1:4" x14ac:dyDescent="0.25">
      <c r="A9119" t="str">
        <f>T("   210111")</f>
        <v xml:space="preserve">   210111</v>
      </c>
      <c r="B9119" t="str">
        <f>T("   Extraits, essences et concentrés de café")</f>
        <v xml:space="preserve">   Extraits, essences et concentrés de café</v>
      </c>
      <c r="C9119">
        <v>290829924</v>
      </c>
      <c r="D9119">
        <v>82543</v>
      </c>
    </row>
    <row r="9120" spans="1:4" x14ac:dyDescent="0.25">
      <c r="A9120" t="str">
        <f>T("   210112")</f>
        <v xml:space="preserve">   210112</v>
      </c>
      <c r="B9120" t="str">
        <f>T("   Préparations à base d'extraits, essences ou concentrés de café ou à base de café")</f>
        <v xml:space="preserve">   Préparations à base d'extraits, essences ou concentrés de café ou à base de café</v>
      </c>
      <c r="C9120">
        <v>54579424</v>
      </c>
      <c r="D9120">
        <v>75766</v>
      </c>
    </row>
    <row r="9121" spans="1:4" x14ac:dyDescent="0.25">
      <c r="A9121" t="str">
        <f>T("   210120")</f>
        <v xml:space="preserve">   210120</v>
      </c>
      <c r="B9121" t="str">
        <f>T("   Extraits, essences et concentrés de thé ou de maté et préparations à base de ces extraits, essences et concentrés ou à base de thé ou de maté")</f>
        <v xml:space="preserve">   Extraits, essences et concentrés de thé ou de maté et préparations à base de ces extraits, essences et concentrés ou à base de thé ou de maté</v>
      </c>
      <c r="C9121">
        <v>500000</v>
      </c>
      <c r="D9121">
        <v>702</v>
      </c>
    </row>
    <row r="9122" spans="1:4" x14ac:dyDescent="0.25">
      <c r="A9122" t="str">
        <f>T("   210230")</f>
        <v xml:space="preserve">   210230</v>
      </c>
      <c r="B9122" t="str">
        <f>T("   Poudres à lever préparées")</f>
        <v xml:space="preserve">   Poudres à lever préparées</v>
      </c>
      <c r="C9122">
        <v>4000000</v>
      </c>
      <c r="D9122">
        <v>25780</v>
      </c>
    </row>
    <row r="9123" spans="1:4" x14ac:dyDescent="0.25">
      <c r="A9123" t="str">
        <f>T("   210320")</f>
        <v xml:space="preserve">   210320</v>
      </c>
      <c r="B9123" t="str">
        <f>T("   Tomato ketchup et autres sauces tomates")</f>
        <v xml:space="preserve">   Tomato ketchup et autres sauces tomates</v>
      </c>
      <c r="C9123">
        <v>1668991</v>
      </c>
      <c r="D9123">
        <v>9432</v>
      </c>
    </row>
    <row r="9124" spans="1:4" x14ac:dyDescent="0.25">
      <c r="A9124" t="str">
        <f>T("   210390")</f>
        <v xml:space="preserve">   210390</v>
      </c>
      <c r="B9124"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9124">
        <v>98694292</v>
      </c>
      <c r="D9124">
        <v>325540</v>
      </c>
    </row>
    <row r="9125" spans="1:4" x14ac:dyDescent="0.25">
      <c r="A9125" t="str">
        <f>T("   210410")</f>
        <v xml:space="preserve">   210410</v>
      </c>
      <c r="B9125" t="str">
        <f>T("   Préparations pour soupes, potages ou bouillons; soupes, potages ou bouillons préparés")</f>
        <v xml:space="preserve">   Préparations pour soupes, potages ou bouillons; soupes, potages ou bouillons préparés</v>
      </c>
      <c r="C9125">
        <v>184079653</v>
      </c>
      <c r="D9125">
        <v>336840</v>
      </c>
    </row>
    <row r="9126" spans="1:4" x14ac:dyDescent="0.25">
      <c r="A9126" t="str">
        <f>T("   210500")</f>
        <v xml:space="preserve">   210500</v>
      </c>
      <c r="B9126" t="str">
        <f>T("   Glaces de consommation, même contenant du cacao")</f>
        <v xml:space="preserve">   Glaces de consommation, même contenant du cacao</v>
      </c>
      <c r="C9126">
        <v>1300222008</v>
      </c>
      <c r="D9126">
        <v>3464252</v>
      </c>
    </row>
    <row r="9127" spans="1:4" x14ac:dyDescent="0.25">
      <c r="A9127" t="str">
        <f>T("   210610")</f>
        <v xml:space="preserve">   210610</v>
      </c>
      <c r="B9127" t="str">
        <f>T("   Concentrats de protéines et substances protéiques texturées")</f>
        <v xml:space="preserve">   Concentrats de protéines et substances protéiques texturées</v>
      </c>
      <c r="C9127">
        <v>2593192</v>
      </c>
      <c r="D9127">
        <v>11116</v>
      </c>
    </row>
    <row r="9128" spans="1:4" x14ac:dyDescent="0.25">
      <c r="A9128" t="str">
        <f>T("   210690")</f>
        <v xml:space="preserve">   210690</v>
      </c>
      <c r="B9128" t="str">
        <f>T("   Préparations alimentaires, n.d.a.")</f>
        <v xml:space="preserve">   Préparations alimentaires, n.d.a.</v>
      </c>
      <c r="C9128">
        <v>52959435</v>
      </c>
      <c r="D9128">
        <v>50070</v>
      </c>
    </row>
    <row r="9129" spans="1:4" x14ac:dyDescent="0.25">
      <c r="A9129" t="str">
        <f>T("   220110")</f>
        <v xml:space="preserve">   220110</v>
      </c>
      <c r="B9129" t="str">
        <f>T("   Eaux minérales et eaux gazéifiées, non additionnées de sucre ou d'autres édulcorants ni aromatisées")</f>
        <v xml:space="preserve">   Eaux minérales et eaux gazéifiées, non additionnées de sucre ou d'autres édulcorants ni aromatisées</v>
      </c>
      <c r="C9129">
        <v>12671765</v>
      </c>
      <c r="D9129">
        <v>86353</v>
      </c>
    </row>
    <row r="9130" spans="1:4" x14ac:dyDescent="0.25">
      <c r="A9130" t="str">
        <f>T("   220190")</f>
        <v xml:space="preserve">   220190</v>
      </c>
      <c r="B9130"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9130">
        <v>1000000</v>
      </c>
      <c r="D9130">
        <v>5048</v>
      </c>
    </row>
    <row r="9131" spans="1:4" x14ac:dyDescent="0.25">
      <c r="A9131" t="str">
        <f>T("   220210")</f>
        <v xml:space="preserve">   220210</v>
      </c>
      <c r="B9131"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9131">
        <v>1681200018</v>
      </c>
      <c r="D9131">
        <v>4381315</v>
      </c>
    </row>
    <row r="9132" spans="1:4" x14ac:dyDescent="0.25">
      <c r="A9132" t="str">
        <f>T("   220290")</f>
        <v xml:space="preserve">   220290</v>
      </c>
      <c r="B9132" t="str">
        <f>T("   BOISSONS NON-ALCOOLIQUES (À L'EXCL. DES EAUX, DES JUS DE FRUITS OU DE LÉGUMES AINSI QUE DU LAIT)")</f>
        <v xml:space="preserve">   BOISSONS NON-ALCOOLIQUES (À L'EXCL. DES EAUX, DES JUS DE FRUITS OU DE LÉGUMES AINSI QUE DU LAIT)</v>
      </c>
      <c r="C9132">
        <v>133001787</v>
      </c>
      <c r="D9132">
        <v>525774.21</v>
      </c>
    </row>
    <row r="9133" spans="1:4" x14ac:dyDescent="0.25">
      <c r="A9133" t="str">
        <f>T("   220300")</f>
        <v xml:space="preserve">   220300</v>
      </c>
      <c r="B9133" t="str">
        <f>T("   Bières de malt")</f>
        <v xml:space="preserve">   Bières de malt</v>
      </c>
      <c r="C9133">
        <v>771526457</v>
      </c>
      <c r="D9133">
        <v>2249477</v>
      </c>
    </row>
    <row r="9134" spans="1:4" x14ac:dyDescent="0.25">
      <c r="A9134" t="str">
        <f>T("   220410")</f>
        <v xml:space="preserve">   220410</v>
      </c>
      <c r="B9134" t="str">
        <f>T("   Vins mousseux produits à partir de raisins frais")</f>
        <v xml:space="preserve">   Vins mousseux produits à partir de raisins frais</v>
      </c>
      <c r="C9134">
        <v>66028312</v>
      </c>
      <c r="D9134">
        <v>798574</v>
      </c>
    </row>
    <row r="9135" spans="1:4" x14ac:dyDescent="0.25">
      <c r="A9135" t="str">
        <f>T("   220421")</f>
        <v xml:space="preserve">   220421</v>
      </c>
      <c r="B9135"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9135">
        <v>107508978</v>
      </c>
      <c r="D9135">
        <v>900245</v>
      </c>
    </row>
    <row r="9136" spans="1:4" x14ac:dyDescent="0.25">
      <c r="A9136" t="str">
        <f>T("   220429")</f>
        <v xml:space="preserve">   220429</v>
      </c>
      <c r="B9136"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9136">
        <v>94295576</v>
      </c>
      <c r="D9136">
        <v>894925</v>
      </c>
    </row>
    <row r="9137" spans="1:4" x14ac:dyDescent="0.25">
      <c r="A9137" t="str">
        <f>T("   220590")</f>
        <v xml:space="preserve">   220590</v>
      </c>
      <c r="B9137"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9137">
        <v>3500000</v>
      </c>
      <c r="D9137">
        <v>46250</v>
      </c>
    </row>
    <row r="9138" spans="1:4" x14ac:dyDescent="0.25">
      <c r="A9138" t="str">
        <f>T("   220600")</f>
        <v xml:space="preserve">   220600</v>
      </c>
      <c r="B9138" t="s">
        <v>61</v>
      </c>
      <c r="C9138">
        <v>72000</v>
      </c>
      <c r="D9138">
        <v>150</v>
      </c>
    </row>
    <row r="9139" spans="1:4" x14ac:dyDescent="0.25">
      <c r="A9139" t="str">
        <f>T("   220710")</f>
        <v xml:space="preserve">   220710</v>
      </c>
      <c r="B9139" t="str">
        <f>T("   Alcool éthylique non dénaturé d'un titre alcoométrique volumique &gt;= 80% vol")</f>
        <v xml:space="preserve">   Alcool éthylique non dénaturé d'un titre alcoométrique volumique &gt;= 80% vol</v>
      </c>
      <c r="C9139">
        <v>302539</v>
      </c>
      <c r="D9139">
        <v>1110</v>
      </c>
    </row>
    <row r="9140" spans="1:4" x14ac:dyDescent="0.25">
      <c r="A9140" t="str">
        <f>T("   220830")</f>
        <v xml:space="preserve">   220830</v>
      </c>
      <c r="B9140" t="str">
        <f>T("   Whiskies")</f>
        <v xml:space="preserve">   Whiskies</v>
      </c>
      <c r="C9140">
        <v>20091997</v>
      </c>
      <c r="D9140">
        <v>79390</v>
      </c>
    </row>
    <row r="9141" spans="1:4" x14ac:dyDescent="0.25">
      <c r="A9141" t="str">
        <f>T("   220870")</f>
        <v xml:space="preserve">   220870</v>
      </c>
      <c r="B9141" t="str">
        <f>T("   LIQUEURS")</f>
        <v xml:space="preserve">   LIQUEURS</v>
      </c>
      <c r="C9141">
        <v>2000000</v>
      </c>
      <c r="D9141">
        <v>7620</v>
      </c>
    </row>
    <row r="9142" spans="1:4" x14ac:dyDescent="0.25">
      <c r="A9142" t="str">
        <f>T("   220890")</f>
        <v xml:space="preserve">   220890</v>
      </c>
      <c r="B9142" t="s">
        <v>62</v>
      </c>
      <c r="C9142">
        <v>4742142</v>
      </c>
      <c r="D9142">
        <v>38437</v>
      </c>
    </row>
    <row r="9143" spans="1:4" x14ac:dyDescent="0.25">
      <c r="A9143" t="str">
        <f>T("   230120")</f>
        <v xml:space="preserve">   230120</v>
      </c>
      <c r="B9143" t="str">
        <f>T("   Farines, poudres et agglomérés sous forme de pellets, de poissons ou de crustacés, de mollusques ou d'autres invertébrés aquatiques, impropres à l'alimentation humaine")</f>
        <v xml:space="preserve">   Farines, poudres et agglomérés sous forme de pellets, de poissons ou de crustacés, de mollusques ou d'autres invertébrés aquatiques, impropres à l'alimentation humaine</v>
      </c>
      <c r="C9143">
        <v>1850000</v>
      </c>
      <c r="D9143">
        <v>55020</v>
      </c>
    </row>
    <row r="9144" spans="1:4" x14ac:dyDescent="0.25">
      <c r="A9144" t="str">
        <f>T("   230230")</f>
        <v xml:space="preserve">   230230</v>
      </c>
      <c r="B9144" t="str">
        <f>T("   Sons, remoulages et autres résidus, même agglomérés sous forme de pellets, du criblage, de la mouture ou d'autres traitements du froment")</f>
        <v xml:space="preserve">   Sons, remoulages et autres résidus, même agglomérés sous forme de pellets, du criblage, de la mouture ou d'autres traitements du froment</v>
      </c>
      <c r="C9144">
        <v>1800000</v>
      </c>
      <c r="D9144">
        <v>120000</v>
      </c>
    </row>
    <row r="9145" spans="1:4" x14ac:dyDescent="0.25">
      <c r="A9145" t="str">
        <f>T("   230240")</f>
        <v xml:space="preserve">   230240</v>
      </c>
      <c r="B9145" t="str">
        <f>T("   SONS, REMOULAGES ET AUTRES RÉSIDUS, MÊME AGGLOMÉRÉS SOUS FORME DE PELLETS, DU CRIBLAGE, DE LA MOUTURE OU D'AUTRES TRAITEMENTS DES CÉRÉALES (À L'EXCL. DU MAÏS OU DU FROMENT)")</f>
        <v xml:space="preserve">   SONS, REMOULAGES ET AUTRES RÉSIDUS, MÊME AGGLOMÉRÉS SOUS FORME DE PELLETS, DU CRIBLAGE, DE LA MOUTURE OU D'AUTRES TRAITEMENTS DES CÉRÉALES (À L'EXCL. DU MAÏS OU DU FROMENT)</v>
      </c>
      <c r="C9145">
        <v>9584434</v>
      </c>
      <c r="D9145">
        <v>148540</v>
      </c>
    </row>
    <row r="9146" spans="1:4" x14ac:dyDescent="0.25">
      <c r="A9146" t="str">
        <f>T("   230610")</f>
        <v xml:space="preserve">   230610</v>
      </c>
      <c r="B9146"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9146">
        <v>1700000</v>
      </c>
      <c r="D9146">
        <v>38455</v>
      </c>
    </row>
    <row r="9147" spans="1:4" x14ac:dyDescent="0.25">
      <c r="A9147" t="str">
        <f>T("   230890")</f>
        <v xml:space="preserve">   230890</v>
      </c>
      <c r="B9147" t="s">
        <v>63</v>
      </c>
      <c r="C9147">
        <v>1517312</v>
      </c>
      <c r="D9147">
        <v>6000</v>
      </c>
    </row>
    <row r="9148" spans="1:4" x14ac:dyDescent="0.25">
      <c r="A9148" t="str">
        <f>T("   230910")</f>
        <v xml:space="preserve">   230910</v>
      </c>
      <c r="B9148" t="str">
        <f>T("   Aliments pour chiens ou chats, conditionnés pour la vente au détail")</f>
        <v xml:space="preserve">   Aliments pour chiens ou chats, conditionnés pour la vente au détail</v>
      </c>
      <c r="C9148">
        <v>3398240</v>
      </c>
      <c r="D9148">
        <v>6300</v>
      </c>
    </row>
    <row r="9149" spans="1:4" x14ac:dyDescent="0.25">
      <c r="A9149" t="str">
        <f>T("   230990")</f>
        <v xml:space="preserve">   230990</v>
      </c>
      <c r="B9149"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9149">
        <v>1404000</v>
      </c>
      <c r="D9149">
        <v>16200</v>
      </c>
    </row>
    <row r="9150" spans="1:4" x14ac:dyDescent="0.25">
      <c r="A9150" t="str">
        <f>T("   240220")</f>
        <v xml:space="preserve">   240220</v>
      </c>
      <c r="B9150" t="str">
        <f>T("   Cigarettes contenant du tabac")</f>
        <v xml:space="preserve">   Cigarettes contenant du tabac</v>
      </c>
      <c r="C9150">
        <v>78265812</v>
      </c>
      <c r="D9150">
        <v>14010</v>
      </c>
    </row>
    <row r="9151" spans="1:4" x14ac:dyDescent="0.25">
      <c r="A9151" t="str">
        <f>T("   250100")</f>
        <v xml:space="preserve">   250100</v>
      </c>
      <c r="B9151" t="s">
        <v>65</v>
      </c>
      <c r="C9151">
        <v>13176634</v>
      </c>
      <c r="D9151">
        <v>272910</v>
      </c>
    </row>
    <row r="9152" spans="1:4" x14ac:dyDescent="0.25">
      <c r="A9152" t="str">
        <f>T("   250590")</f>
        <v xml:space="preserve">   250590</v>
      </c>
      <c r="B9152"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9152">
        <v>702635</v>
      </c>
      <c r="D9152">
        <v>6980</v>
      </c>
    </row>
    <row r="9153" spans="1:4" x14ac:dyDescent="0.25">
      <c r="A9153" t="str">
        <f>T("   251319")</f>
        <v xml:space="preserve">   251319</v>
      </c>
      <c r="B9153" t="str">
        <f>T("   Pierre ponce, broyée ou pulvérisée")</f>
        <v xml:space="preserve">   Pierre ponce, broyée ou pulvérisée</v>
      </c>
      <c r="C9153">
        <v>175901</v>
      </c>
      <c r="D9153">
        <v>4540</v>
      </c>
    </row>
    <row r="9154" spans="1:4" x14ac:dyDescent="0.25">
      <c r="A9154" t="str">
        <f>T("   251611")</f>
        <v xml:space="preserve">   251611</v>
      </c>
      <c r="B9154" t="str">
        <f>T("   Granit, brut ou dégrossi (à l'excl. des pierres présentant le caractère de pavés, de bordures de trottoirs ou de dalles de pavage)")</f>
        <v xml:space="preserve">   Granit, brut ou dégrossi (à l'excl. des pierres présentant le caractère de pavés, de bordures de trottoirs ou de dalles de pavage)</v>
      </c>
      <c r="C9154">
        <v>972074</v>
      </c>
      <c r="D9154">
        <v>12940</v>
      </c>
    </row>
    <row r="9155" spans="1:4" x14ac:dyDescent="0.25">
      <c r="A9155" t="str">
        <f>T("   251710")</f>
        <v xml:space="preserve">   251710</v>
      </c>
      <c r="B9155" t="str">
        <f>T("   Cailloux, graviers, pierres concassées, des types généralement utilisés pour le bétonnage ou pour l'empierrement des routes, des voies ferrées ou autres ballasts, galets et silex, même traités thermiquement")</f>
        <v xml:space="preserve">   Cailloux, graviers, pierres concassées, des types généralement utilisés pour le bétonnage ou pour l'empierrement des routes, des voies ferrées ou autres ballasts, galets et silex, même traités thermiquement</v>
      </c>
      <c r="C9155">
        <v>1892582</v>
      </c>
      <c r="D9155">
        <v>228728</v>
      </c>
    </row>
    <row r="9156" spans="1:4" x14ac:dyDescent="0.25">
      <c r="A9156" t="str">
        <f>T("   251749")</f>
        <v xml:space="preserve">   251749</v>
      </c>
      <c r="B9156" t="s">
        <v>67</v>
      </c>
      <c r="C9156">
        <v>52770</v>
      </c>
      <c r="D9156">
        <v>10000</v>
      </c>
    </row>
    <row r="9157" spans="1:4" x14ac:dyDescent="0.25">
      <c r="A9157" t="str">
        <f>T("   252329")</f>
        <v xml:space="preserve">   252329</v>
      </c>
      <c r="B9157" t="str">
        <f>T("   Ciment Portland normal ou modéré (à l'excl. des ciments Portland blancs, même colorés artificiellement)")</f>
        <v xml:space="preserve">   Ciment Portland normal ou modéré (à l'excl. des ciments Portland blancs, même colorés artificiellement)</v>
      </c>
      <c r="C9157">
        <v>7585213900</v>
      </c>
      <c r="D9157">
        <v>125783645</v>
      </c>
    </row>
    <row r="9158" spans="1:4" x14ac:dyDescent="0.25">
      <c r="A9158" t="str">
        <f>T("   271011")</f>
        <v xml:space="preserve">   271011</v>
      </c>
      <c r="B9158"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9158">
        <v>27221943</v>
      </c>
      <c r="D9158">
        <v>68288</v>
      </c>
    </row>
    <row r="9159" spans="1:4" x14ac:dyDescent="0.25">
      <c r="A9159" t="str">
        <f>T("   271019")</f>
        <v xml:space="preserve">   271019</v>
      </c>
      <c r="B9159" t="str">
        <f>T("   Huiles moyennes et préparations, de pétrole ou de minéraux bitumineux, n.d.a.")</f>
        <v xml:space="preserve">   Huiles moyennes et préparations, de pétrole ou de minéraux bitumineux, n.d.a.</v>
      </c>
      <c r="C9159">
        <v>742305737</v>
      </c>
      <c r="D9159">
        <v>1394171</v>
      </c>
    </row>
    <row r="9160" spans="1:4" x14ac:dyDescent="0.25">
      <c r="A9160" t="str">
        <f>T("   271113")</f>
        <v xml:space="preserve">   271113</v>
      </c>
      <c r="B9160" t="str">
        <f>T("   Butanes, liquéfiés (à l'excl. des butanes d'une pureté &gt;= 95% en n-butane ou en isobutane)")</f>
        <v xml:space="preserve">   Butanes, liquéfiés (à l'excl. des butanes d'une pureté &gt;= 95% en n-butane ou en isobutane)</v>
      </c>
      <c r="C9160">
        <v>87951</v>
      </c>
      <c r="D9160">
        <v>295</v>
      </c>
    </row>
    <row r="9161" spans="1:4" x14ac:dyDescent="0.25">
      <c r="A9161" t="str">
        <f>T("   271312")</f>
        <v xml:space="preserve">   271312</v>
      </c>
      <c r="B9161" t="str">
        <f>T("   Coke de pétrole, calciné")</f>
        <v xml:space="preserve">   Coke de pétrole, calciné</v>
      </c>
      <c r="C9161">
        <v>1055409</v>
      </c>
      <c r="D9161">
        <v>3000</v>
      </c>
    </row>
    <row r="9162" spans="1:4" x14ac:dyDescent="0.25">
      <c r="A9162" t="str">
        <f>T("   271320")</f>
        <v xml:space="preserve">   271320</v>
      </c>
      <c r="B9162" t="str">
        <f>T("   Bitume de pétrole")</f>
        <v xml:space="preserve">   Bitume de pétrole</v>
      </c>
      <c r="C9162">
        <v>933147478</v>
      </c>
      <c r="D9162">
        <v>2388340</v>
      </c>
    </row>
    <row r="9163" spans="1:4" x14ac:dyDescent="0.25">
      <c r="A9163" t="str">
        <f>T("   271490")</f>
        <v xml:space="preserve">   271490</v>
      </c>
      <c r="B9163" t="str">
        <f>T("   Bitumes et asphaltes, naturels; asphaltites et roches asphaltiques")</f>
        <v xml:space="preserve">   Bitumes et asphaltes, naturels; asphaltites et roches asphaltiques</v>
      </c>
      <c r="C9163">
        <v>376947862</v>
      </c>
      <c r="D9163">
        <v>1275140</v>
      </c>
    </row>
    <row r="9164" spans="1:4" x14ac:dyDescent="0.25">
      <c r="A9164" t="str">
        <f>T("   271500")</f>
        <v xml:space="preserve">   271500</v>
      </c>
      <c r="B9164"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9164">
        <v>2110818</v>
      </c>
      <c r="D9164">
        <v>3340</v>
      </c>
    </row>
    <row r="9165" spans="1:4" x14ac:dyDescent="0.25">
      <c r="A9165" t="str">
        <f>T("   271600")</f>
        <v xml:space="preserve">   271600</v>
      </c>
      <c r="B9165" t="str">
        <f>T("   Energie électrique")</f>
        <v xml:space="preserve">   Energie électrique</v>
      </c>
      <c r="C9165">
        <v>58956930514</v>
      </c>
      <c r="D9165">
        <v>0</v>
      </c>
    </row>
    <row r="9166" spans="1:4" x14ac:dyDescent="0.25">
      <c r="A9166" t="str">
        <f>T("   280421")</f>
        <v xml:space="preserve">   280421</v>
      </c>
      <c r="B9166" t="str">
        <f>T("   Argon")</f>
        <v xml:space="preserve">   Argon</v>
      </c>
      <c r="C9166">
        <v>12529185</v>
      </c>
      <c r="D9166">
        <v>4119</v>
      </c>
    </row>
    <row r="9167" spans="1:4" x14ac:dyDescent="0.25">
      <c r="A9167" t="str">
        <f>T("   280429")</f>
        <v xml:space="preserve">   280429</v>
      </c>
      <c r="B9167" t="str">
        <f>T("   Gaz rares (à l'excl. de l'argon)")</f>
        <v xml:space="preserve">   Gaz rares (à l'excl. de l'argon)</v>
      </c>
      <c r="C9167">
        <v>19418067</v>
      </c>
      <c r="D9167">
        <v>8450</v>
      </c>
    </row>
    <row r="9168" spans="1:4" x14ac:dyDescent="0.25">
      <c r="A9168" t="str">
        <f>T("   280430")</f>
        <v xml:space="preserve">   280430</v>
      </c>
      <c r="B9168" t="str">
        <f>T("   Azote")</f>
        <v xml:space="preserve">   Azote</v>
      </c>
      <c r="C9168">
        <v>3503689</v>
      </c>
      <c r="D9168">
        <v>37978</v>
      </c>
    </row>
    <row r="9169" spans="1:4" x14ac:dyDescent="0.25">
      <c r="A9169" t="str">
        <f>T("   280440")</f>
        <v xml:space="preserve">   280440</v>
      </c>
      <c r="B9169" t="str">
        <f>T("   Oxygène")</f>
        <v xml:space="preserve">   Oxygène</v>
      </c>
      <c r="C9169">
        <v>69179650</v>
      </c>
      <c r="D9169">
        <v>105393</v>
      </c>
    </row>
    <row r="9170" spans="1:4" x14ac:dyDescent="0.25">
      <c r="A9170" t="str">
        <f>T("   280512")</f>
        <v xml:space="preserve">   280512</v>
      </c>
      <c r="B9170" t="str">
        <f>T("   CALCIUM")</f>
        <v xml:space="preserve">   CALCIUM</v>
      </c>
      <c r="C9170">
        <v>2362528</v>
      </c>
      <c r="D9170">
        <v>45000</v>
      </c>
    </row>
    <row r="9171" spans="1:4" x14ac:dyDescent="0.25">
      <c r="A9171" t="str">
        <f>T("   280610")</f>
        <v xml:space="preserve">   280610</v>
      </c>
      <c r="B9171" t="str">
        <f>T("   Chlorure d'hydrogène [acide chlorhydrique]")</f>
        <v xml:space="preserve">   Chlorure d'hydrogène [acide chlorhydrique]</v>
      </c>
      <c r="C9171">
        <v>2643020</v>
      </c>
      <c r="D9171">
        <v>10568</v>
      </c>
    </row>
    <row r="9172" spans="1:4" x14ac:dyDescent="0.25">
      <c r="A9172" t="str">
        <f>T("   281121")</f>
        <v xml:space="preserve">   281121</v>
      </c>
      <c r="B9172" t="str">
        <f>T("   DIOXYDE DE CARBONE")</f>
        <v xml:space="preserve">   DIOXYDE DE CARBONE</v>
      </c>
      <c r="C9172">
        <v>74469</v>
      </c>
      <c r="D9172">
        <v>58</v>
      </c>
    </row>
    <row r="9173" spans="1:4" x14ac:dyDescent="0.25">
      <c r="A9173" t="str">
        <f>T("   281290")</f>
        <v xml:space="preserve">   281290</v>
      </c>
      <c r="B9173" t="str">
        <f>T("   Halogénures et oxyhalogénures des éléments non métalliques (à l'excl. des chlorures et des oxychlorures)")</f>
        <v xml:space="preserve">   Halogénures et oxyhalogénures des éléments non métalliques (à l'excl. des chlorures et des oxychlorures)</v>
      </c>
      <c r="C9173">
        <v>716204</v>
      </c>
      <c r="D9173">
        <v>2900</v>
      </c>
    </row>
    <row r="9174" spans="1:4" x14ac:dyDescent="0.25">
      <c r="A9174" t="str">
        <f>T("   281511")</f>
        <v xml:space="preserve">   281511</v>
      </c>
      <c r="B9174" t="str">
        <f>T("   Hydroxyde de sodium [soude caustique], solide")</f>
        <v xml:space="preserve">   Hydroxyde de sodium [soude caustique], solide</v>
      </c>
      <c r="C9174">
        <v>1107197</v>
      </c>
      <c r="D9174">
        <v>12980</v>
      </c>
    </row>
    <row r="9175" spans="1:4" x14ac:dyDescent="0.25">
      <c r="A9175" t="str">
        <f>T("   282810")</f>
        <v xml:space="preserve">   282810</v>
      </c>
      <c r="B9175" t="str">
        <f>T("   Hypochlorites de calcium, y.c. l'hypochlorite de calcium du commerce")</f>
        <v xml:space="preserve">   Hypochlorites de calcium, y.c. l'hypochlorite de calcium du commerce</v>
      </c>
      <c r="C9175">
        <v>2148612</v>
      </c>
      <c r="D9175">
        <v>220</v>
      </c>
    </row>
    <row r="9176" spans="1:4" x14ac:dyDescent="0.25">
      <c r="A9176" t="str">
        <f>T("   282890")</f>
        <v xml:space="preserve">   282890</v>
      </c>
      <c r="B9176" t="str">
        <f>T("   Hypochlorites, chlorites et hypobromites (à l'excl. des hypochlorites de calcium)")</f>
        <v xml:space="preserve">   Hypochlorites, chlorites et hypobromites (à l'excl. des hypochlorites de calcium)</v>
      </c>
      <c r="C9176">
        <v>699630</v>
      </c>
      <c r="D9176">
        <v>11530</v>
      </c>
    </row>
    <row r="9177" spans="1:4" x14ac:dyDescent="0.25">
      <c r="A9177" t="str">
        <f>T("   283321")</f>
        <v xml:space="preserve">   283321</v>
      </c>
      <c r="B9177" t="str">
        <f>T("   Sulfate de magnésium")</f>
        <v xml:space="preserve">   Sulfate de magnésium</v>
      </c>
      <c r="C9177">
        <v>800000</v>
      </c>
      <c r="D9177">
        <v>71</v>
      </c>
    </row>
    <row r="9178" spans="1:4" x14ac:dyDescent="0.25">
      <c r="A9178" t="str">
        <f>T("   283330")</f>
        <v xml:space="preserve">   283330</v>
      </c>
      <c r="B9178" t="str">
        <f>T("   Aluns")</f>
        <v xml:space="preserve">   Aluns</v>
      </c>
      <c r="C9178">
        <v>107431</v>
      </c>
      <c r="D9178">
        <v>3960</v>
      </c>
    </row>
    <row r="9179" spans="1:4" x14ac:dyDescent="0.25">
      <c r="A9179" t="str">
        <f>T("   283650")</f>
        <v xml:space="preserve">   283650</v>
      </c>
      <c r="B9179" t="str">
        <f>T("   Carbonate de calcium")</f>
        <v xml:space="preserve">   Carbonate de calcium</v>
      </c>
      <c r="C9179">
        <v>584373</v>
      </c>
      <c r="D9179">
        <v>10625</v>
      </c>
    </row>
    <row r="9180" spans="1:4" x14ac:dyDescent="0.25">
      <c r="A9180" t="str">
        <f>T("   284700")</f>
        <v xml:space="preserve">   284700</v>
      </c>
      <c r="B9180" t="str">
        <f>T("   Peroxyde d'hydrogène [eau oxygénée], même solidifié avec de l'urée")</f>
        <v xml:space="preserve">   Peroxyde d'hydrogène [eau oxygénée], même solidifié avec de l'urée</v>
      </c>
      <c r="C9180">
        <v>2800</v>
      </c>
      <c r="D9180">
        <v>10</v>
      </c>
    </row>
    <row r="9181" spans="1:4" x14ac:dyDescent="0.25">
      <c r="A9181" t="str">
        <f>T("   284910")</f>
        <v xml:space="preserve">   284910</v>
      </c>
      <c r="B9181" t="str">
        <f>T("   Carbure de calcium, de constitution chimique définie ou non")</f>
        <v xml:space="preserve">   Carbure de calcium, de constitution chimique définie ou non</v>
      </c>
      <c r="C9181">
        <v>23997900</v>
      </c>
      <c r="D9181">
        <v>258130</v>
      </c>
    </row>
    <row r="9182" spans="1:4" x14ac:dyDescent="0.25">
      <c r="A9182" t="str">
        <f>T("   290110")</f>
        <v xml:space="preserve">   290110</v>
      </c>
      <c r="B9182" t="str">
        <f>T("   Hydrocarbures acycliques, saturés")</f>
        <v xml:space="preserve">   Hydrocarbures acycliques, saturés</v>
      </c>
      <c r="C9182">
        <v>23892000</v>
      </c>
      <c r="D9182">
        <v>21940</v>
      </c>
    </row>
    <row r="9183" spans="1:4" x14ac:dyDescent="0.25">
      <c r="A9183" t="str">
        <f>T("   290323")</f>
        <v xml:space="preserve">   290323</v>
      </c>
      <c r="B9183" t="str">
        <f>T("   Tétrachloroéthylène [perchloroéthylène]")</f>
        <v xml:space="preserve">   Tétrachloroéthylène [perchloroéthylène]</v>
      </c>
      <c r="C9183">
        <v>497762</v>
      </c>
      <c r="D9183">
        <v>330</v>
      </c>
    </row>
    <row r="9184" spans="1:4" x14ac:dyDescent="0.25">
      <c r="A9184" t="str">
        <f>T("   290719")</f>
        <v xml:space="preserve">   290719</v>
      </c>
      <c r="B9184" t="str">
        <f>T("   MONOPHÉNOLS (À L'EXCL. DU PHÉNOL [HYDROXYBENZÈNE], DES CRÉSOLS, DE L'OCTYLPHÉNOL, DU NONYLPHÉNOL, DES ISOMÈRES DE L'OCTYLPHÉNOL ET DU NONYLPHÉNOL, DES NAPHTOLS AINSI QUE DES SELS DE TOUS CES PRODUITS)")</f>
        <v xml:space="preserve">   MONOPHÉNOLS (À L'EXCL. DU PHÉNOL [HYDROXYBENZÈNE], DES CRÉSOLS, DE L'OCTYLPHÉNOL, DU NONYLPHÉNOL, DES ISOMÈRES DE L'OCTYLPHÉNOL ET DU NONYLPHÉNOL, DES NAPHTOLS AINSI QUE DES SELS DE TOUS CES PRODUITS)</v>
      </c>
      <c r="C9184">
        <v>214862</v>
      </c>
      <c r="D9184">
        <v>2600</v>
      </c>
    </row>
    <row r="9185" spans="1:4" x14ac:dyDescent="0.25">
      <c r="A9185" t="str">
        <f>T("   291521")</f>
        <v xml:space="preserve">   291521</v>
      </c>
      <c r="B9185" t="str">
        <f>T("   Acide acétique")</f>
        <v xml:space="preserve">   Acide acétique</v>
      </c>
      <c r="C9185">
        <v>390254</v>
      </c>
      <c r="D9185">
        <v>50</v>
      </c>
    </row>
    <row r="9186" spans="1:4" x14ac:dyDescent="0.25">
      <c r="A9186" t="str">
        <f>T("   291590")</f>
        <v xml:space="preserve">   291590</v>
      </c>
      <c r="B9186" t="s">
        <v>71</v>
      </c>
      <c r="C9186">
        <v>71620</v>
      </c>
      <c r="D9186">
        <v>25</v>
      </c>
    </row>
    <row r="9187" spans="1:4" x14ac:dyDescent="0.25">
      <c r="A9187" t="str">
        <f>T("   292242")</f>
        <v xml:space="preserve">   292242</v>
      </c>
      <c r="B9187" t="str">
        <f>T("   Acide glutamique et ses sels")</f>
        <v xml:space="preserve">   Acide glutamique et ses sels</v>
      </c>
      <c r="C9187">
        <v>15000000</v>
      </c>
      <c r="D9187">
        <v>62920</v>
      </c>
    </row>
    <row r="9188" spans="1:4" x14ac:dyDescent="0.25">
      <c r="A9188" t="str">
        <f>T("   292910")</f>
        <v xml:space="preserve">   292910</v>
      </c>
      <c r="B9188" t="str">
        <f>T("   Isocyanates")</f>
        <v xml:space="preserve">   Isocyanates</v>
      </c>
      <c r="C9188">
        <v>224547</v>
      </c>
      <c r="D9188">
        <v>287</v>
      </c>
    </row>
    <row r="9189" spans="1:4" x14ac:dyDescent="0.25">
      <c r="A9189" t="str">
        <f>T("   300420")</f>
        <v xml:space="preserve">   300420</v>
      </c>
      <c r="B9189" t="s">
        <v>76</v>
      </c>
      <c r="C9189">
        <v>288203417</v>
      </c>
      <c r="D9189">
        <v>1039764.47</v>
      </c>
    </row>
    <row r="9190" spans="1:4" x14ac:dyDescent="0.25">
      <c r="A9190" t="str">
        <f>T("   300439")</f>
        <v xml:space="preserve">   300439</v>
      </c>
      <c r="B9190" t="s">
        <v>77</v>
      </c>
      <c r="C9190">
        <v>70594547</v>
      </c>
      <c r="D9190">
        <v>70435.5</v>
      </c>
    </row>
    <row r="9191" spans="1:4" x14ac:dyDescent="0.25">
      <c r="A9191" t="str">
        <f>T("   300490")</f>
        <v xml:space="preserve">   300490</v>
      </c>
      <c r="B9191" t="s">
        <v>79</v>
      </c>
      <c r="C9191">
        <v>97899526</v>
      </c>
      <c r="D9191">
        <v>170363</v>
      </c>
    </row>
    <row r="9192" spans="1:4" x14ac:dyDescent="0.25">
      <c r="A9192" t="str">
        <f>T("   300620")</f>
        <v xml:space="preserve">   300620</v>
      </c>
      <c r="B9192" t="str">
        <f>T("   Réactifs destinés à la détermination des groupes ou des facteurs sanguins")</f>
        <v xml:space="preserve">   Réactifs destinés à la détermination des groupes ou des facteurs sanguins</v>
      </c>
      <c r="C9192">
        <v>567376</v>
      </c>
      <c r="D9192">
        <v>200</v>
      </c>
    </row>
    <row r="9193" spans="1:4" x14ac:dyDescent="0.25">
      <c r="A9193" t="str">
        <f>T("   310210")</f>
        <v xml:space="preserve">   310210</v>
      </c>
      <c r="B9193" t="str">
        <f>T("   Urée, même en solution aqueuse (à l'excl. des produits présentés soit en tablettes ou formes simil., soit en emballages d'un poids brut &lt;= 10 kg)")</f>
        <v xml:space="preserve">   Urée, même en solution aqueuse (à l'excl. des produits présentés soit en tablettes ou formes simil., soit en emballages d'un poids brut &lt;= 10 kg)</v>
      </c>
      <c r="C9193">
        <v>134459811</v>
      </c>
      <c r="D9193">
        <v>585050</v>
      </c>
    </row>
    <row r="9194" spans="1:4" x14ac:dyDescent="0.25">
      <c r="A9194" t="str">
        <f>T("   310310")</f>
        <v xml:space="preserve">   310310</v>
      </c>
      <c r="B9194" t="str">
        <f>T("   Superphosphates (à l'excl. des produits présentés soit en tablettes ou formes simil., soit en emballages d'un poids brut &lt;= 10 kg)")</f>
        <v xml:space="preserve">   Superphosphates (à l'excl. des produits présentés soit en tablettes ou formes simil., soit en emballages d'un poids brut &lt;= 10 kg)</v>
      </c>
      <c r="C9194">
        <v>2369249</v>
      </c>
      <c r="D9194">
        <v>2200</v>
      </c>
    </row>
    <row r="9195" spans="1:4" x14ac:dyDescent="0.25">
      <c r="A9195" t="str">
        <f>T("   310420")</f>
        <v xml:space="preserve">   310420</v>
      </c>
      <c r="B9195" t="str">
        <f>T("   Chlorure de potassium, destiné à être utilisé comme engrais (à l'excl. des produits présentés soit en tablettes ou formes simil., soit en emballages d'un poids brut &lt;= 10 kg)")</f>
        <v xml:space="preserve">   Chlorure de potassium, destiné à être utilisé comme engrais (à l'excl. des produits présentés soit en tablettes ou formes simil., soit en emballages d'un poids brut &lt;= 10 kg)</v>
      </c>
      <c r="C9195">
        <v>303443352</v>
      </c>
      <c r="D9195">
        <v>1000250</v>
      </c>
    </row>
    <row r="9196" spans="1:4" x14ac:dyDescent="0.25">
      <c r="A9196" t="str">
        <f>T("   310430")</f>
        <v xml:space="preserve">   310430</v>
      </c>
      <c r="B9196" t="str">
        <f>T("   Sulfate de potassium (à l'excl. des produits présentés soit en tablettes ou formes simil., soit en emballages d'un poids brut &lt;= 10 kg)")</f>
        <v xml:space="preserve">   Sulfate de potassium (à l'excl. des produits présentés soit en tablettes ou formes simil., soit en emballages d'un poids brut &lt;= 10 kg)</v>
      </c>
      <c r="C9196">
        <v>188276847</v>
      </c>
      <c r="D9196">
        <v>500250</v>
      </c>
    </row>
    <row r="9197" spans="1:4" x14ac:dyDescent="0.25">
      <c r="A9197" t="str">
        <f>T("   310520")</f>
        <v xml:space="preserve">   310520</v>
      </c>
      <c r="B9197" t="str">
        <f>T("   Engrais minéraux ou chimiques contenant les trois éléments fertilisants : azote, phosphore et potassium (à l'excl. des produits présentés soit en tablettes ou formes simil., soit en emballages d'un poids brut &lt;= 10 kg)")</f>
        <v xml:space="preserve">   Engrais minéraux ou chimiques contenant les trois éléments fertilisants : azote, phosphore et potassium (à l'excl. des produits présentés soit en tablettes ou formes simil., soit en emballages d'un poids brut &lt;= 10 kg)</v>
      </c>
      <c r="C9197">
        <v>12196760098</v>
      </c>
      <c r="D9197">
        <v>20137371</v>
      </c>
    </row>
    <row r="9198" spans="1:4" x14ac:dyDescent="0.25">
      <c r="A9198" t="str">
        <f>T("   310590")</f>
        <v xml:space="preserve">   310590</v>
      </c>
      <c r="B9198" t="s">
        <v>83</v>
      </c>
      <c r="C9198">
        <v>2782492130</v>
      </c>
      <c r="D9198">
        <v>9622150</v>
      </c>
    </row>
    <row r="9199" spans="1:4" x14ac:dyDescent="0.25">
      <c r="A9199" t="str">
        <f>T("   320419")</f>
        <v xml:space="preserve">   320419</v>
      </c>
      <c r="B9199" t="s">
        <v>88</v>
      </c>
      <c r="C9199">
        <v>1031441</v>
      </c>
      <c r="D9199">
        <v>1390</v>
      </c>
    </row>
    <row r="9200" spans="1:4" x14ac:dyDescent="0.25">
      <c r="A9200" t="str">
        <f>T("   320490")</f>
        <v xml:space="preserve">   320490</v>
      </c>
      <c r="B9200" t="str">
        <f>T("   Produits organiques synthétiques des types utilisés comme luminophores, même de constitution chimique définie")</f>
        <v xml:space="preserve">   Produits organiques synthétiques des types utilisés comme luminophores, même de constitution chimique définie</v>
      </c>
      <c r="C9200">
        <v>4108773</v>
      </c>
      <c r="D9200">
        <v>3455</v>
      </c>
    </row>
    <row r="9201" spans="1:4" x14ac:dyDescent="0.25">
      <c r="A9201" t="str">
        <f>T("   320740")</f>
        <v xml:space="preserve">   320740</v>
      </c>
      <c r="B9201" t="str">
        <f>T("   Frittes et autres verres, sous forme de poudre, de grenailles, de lamelles ou de flocons")</f>
        <v xml:space="preserve">   Frittes et autres verres, sous forme de poudre, de grenailles, de lamelles ou de flocons</v>
      </c>
      <c r="C9201">
        <v>1296176</v>
      </c>
      <c r="D9201">
        <v>7680</v>
      </c>
    </row>
    <row r="9202" spans="1:4" x14ac:dyDescent="0.25">
      <c r="A9202" t="str">
        <f>T("   320810")</f>
        <v xml:space="preserve">   320810</v>
      </c>
      <c r="B9202" t="str">
        <f>T("   PEINTURES ET VERNIS À BASE DE POLYESTERS, DISPERSÉS OU DISSOUS DANS UN MILIEU NON-AQUEUX, ET PRODUITS À BASE DE POLYESTERS EN SOLUTION DANS DES SOLVANTS ORGANIQUES VOLATILS, POUR AUTANT QUE LA PROPORTION DU SOLVANT &gt; 50% DU POIDS DE LA SOLUTION")</f>
        <v xml:space="preserve">   PEINTURES ET VERNIS À BASE DE POLYESTERS, DISPERSÉS OU DISSOUS DANS UN MILIEU NON-AQUEUX, ET PRODUITS À BASE DE POLYESTERS EN SOLUTION DANS DES SOLVANTS ORGANIQUES VOLATILS, POUR AUTANT QUE LA PROPORTION DU SOLVANT &gt; 50% DU POIDS DE LA SOLUTION</v>
      </c>
      <c r="C9202">
        <v>14677847</v>
      </c>
      <c r="D9202">
        <v>30900</v>
      </c>
    </row>
    <row r="9203" spans="1:4" x14ac:dyDescent="0.25">
      <c r="A9203" t="str">
        <f>T("   320820")</f>
        <v xml:space="preserve">   320820</v>
      </c>
      <c r="B9203" t="s">
        <v>92</v>
      </c>
      <c r="C9203">
        <v>106474716</v>
      </c>
      <c r="D9203">
        <v>187985</v>
      </c>
    </row>
    <row r="9204" spans="1:4" x14ac:dyDescent="0.25">
      <c r="A9204" t="str">
        <f>T("   320890")</f>
        <v xml:space="preserve">   320890</v>
      </c>
      <c r="B9204" t="s">
        <v>93</v>
      </c>
      <c r="C9204">
        <v>13536881</v>
      </c>
      <c r="D9204">
        <v>30900</v>
      </c>
    </row>
    <row r="9205" spans="1:4" x14ac:dyDescent="0.25">
      <c r="A9205" t="str">
        <f>T("   320910")</f>
        <v xml:space="preserve">   320910</v>
      </c>
      <c r="B9205" t="str">
        <f>T("   Peintures et vernis à base de polymères acryliques ou vinyliques, dispersés ou dissous dans un milieu aqueux")</f>
        <v xml:space="preserve">   Peintures et vernis à base de polymères acryliques ou vinyliques, dispersés ou dissous dans un milieu aqueux</v>
      </c>
      <c r="C9205">
        <v>5667828</v>
      </c>
      <c r="D9205">
        <v>33300</v>
      </c>
    </row>
    <row r="9206" spans="1:4" x14ac:dyDescent="0.25">
      <c r="A9206" t="str">
        <f>T("   321000")</f>
        <v xml:space="preserve">   321000</v>
      </c>
      <c r="B9206"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9206">
        <v>2699542</v>
      </c>
      <c r="D9206">
        <v>7835</v>
      </c>
    </row>
    <row r="9207" spans="1:4" x14ac:dyDescent="0.25">
      <c r="A9207" t="str">
        <f>T("   321410")</f>
        <v xml:space="preserve">   321410</v>
      </c>
      <c r="B9207" t="str">
        <f>T("   Mastic de vitrier, ciments de résine et autres mastics; enduits utilisés en peinture")</f>
        <v xml:space="preserve">   Mastic de vitrier, ciments de résine et autres mastics; enduits utilisés en peinture</v>
      </c>
      <c r="C9207">
        <v>1317508</v>
      </c>
      <c r="D9207">
        <v>3506</v>
      </c>
    </row>
    <row r="9208" spans="1:4" x14ac:dyDescent="0.25">
      <c r="A9208" t="str">
        <f>T("   321590")</f>
        <v xml:space="preserve">   321590</v>
      </c>
      <c r="B9208" t="str">
        <f>T("   Encres à écrire et à dessiner, même concentrées ou sous formes solides")</f>
        <v xml:space="preserve">   Encres à écrire et à dessiner, même concentrées ou sous formes solides</v>
      </c>
      <c r="C9208">
        <v>1813217</v>
      </c>
      <c r="D9208">
        <v>358</v>
      </c>
    </row>
    <row r="9209" spans="1:4" x14ac:dyDescent="0.25">
      <c r="A9209" t="str">
        <f>T("   330125")</f>
        <v xml:space="preserve">   330125</v>
      </c>
      <c r="B9209" t="str">
        <f>T("   Huiles essentielles de menthes, déterpénées ou non, y.c. celles dites 'concrètes' ou 'absolues' (à l'excl. des huiles de menthe poivrée 'Mentha piperita')")</f>
        <v xml:space="preserve">   Huiles essentielles de menthes, déterpénées ou non, y.c. celles dites 'concrètes' ou 'absolues' (à l'excl. des huiles de menthe poivrée 'Mentha piperita')</v>
      </c>
      <c r="C9209">
        <v>73050</v>
      </c>
      <c r="D9209">
        <v>120</v>
      </c>
    </row>
    <row r="9210" spans="1:4" x14ac:dyDescent="0.25">
      <c r="A9210" t="str">
        <f>T("   330190")</f>
        <v xml:space="preserve">   330190</v>
      </c>
      <c r="B9210" t="s">
        <v>95</v>
      </c>
      <c r="C9210">
        <v>3098129</v>
      </c>
      <c r="D9210">
        <v>9562</v>
      </c>
    </row>
    <row r="9211" spans="1:4" x14ac:dyDescent="0.25">
      <c r="A9211" t="str">
        <f>T("   330210")</f>
        <v xml:space="preserve">   330210</v>
      </c>
      <c r="B9211"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9211">
        <v>629626</v>
      </c>
      <c r="D9211">
        <v>66</v>
      </c>
    </row>
    <row r="9212" spans="1:4" x14ac:dyDescent="0.25">
      <c r="A9212" t="str">
        <f>T("   330300")</f>
        <v xml:space="preserve">   330300</v>
      </c>
      <c r="B9212"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9212">
        <v>1849624</v>
      </c>
      <c r="D9212">
        <v>44140</v>
      </c>
    </row>
    <row r="9213" spans="1:4" x14ac:dyDescent="0.25">
      <c r="A9213" t="str">
        <f>T("   330430")</f>
        <v xml:space="preserve">   330430</v>
      </c>
      <c r="B9213" t="str">
        <f>T("   Préparations pour manucures ou pédicures")</f>
        <v xml:space="preserve">   Préparations pour manucures ou pédicures</v>
      </c>
      <c r="C9213">
        <v>2000000</v>
      </c>
      <c r="D9213">
        <v>9500</v>
      </c>
    </row>
    <row r="9214" spans="1:4" x14ac:dyDescent="0.25">
      <c r="A9214" t="str">
        <f>T("   330491")</f>
        <v xml:space="preserve">   330491</v>
      </c>
      <c r="B9214"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9214">
        <v>1153077</v>
      </c>
      <c r="D9214">
        <v>5066</v>
      </c>
    </row>
    <row r="9215" spans="1:4" x14ac:dyDescent="0.25">
      <c r="A9215" t="str">
        <f>T("   330499")</f>
        <v xml:space="preserve">   330499</v>
      </c>
      <c r="B9215" t="s">
        <v>97</v>
      </c>
      <c r="C9215">
        <v>418283431</v>
      </c>
      <c r="D9215">
        <v>1889151</v>
      </c>
    </row>
    <row r="9216" spans="1:4" x14ac:dyDescent="0.25">
      <c r="A9216" t="str">
        <f>T("   330510")</f>
        <v xml:space="preserve">   330510</v>
      </c>
      <c r="B9216" t="str">
        <f>T("   Shampooings")</f>
        <v xml:space="preserve">   Shampooings</v>
      </c>
      <c r="C9216">
        <v>26656146</v>
      </c>
      <c r="D9216">
        <v>50790</v>
      </c>
    </row>
    <row r="9217" spans="1:4" x14ac:dyDescent="0.25">
      <c r="A9217" t="str">
        <f>T("   330520")</f>
        <v xml:space="preserve">   330520</v>
      </c>
      <c r="B9217" t="str">
        <f>T("   Préparations pour l'ondulation ou le défrisage permanents")</f>
        <v xml:space="preserve">   Préparations pour l'ondulation ou le défrisage permanents</v>
      </c>
      <c r="C9217">
        <v>2174316</v>
      </c>
      <c r="D9217">
        <v>6456</v>
      </c>
    </row>
    <row r="9218" spans="1:4" x14ac:dyDescent="0.25">
      <c r="A9218" t="str">
        <f>T("   330590")</f>
        <v xml:space="preserve">   330590</v>
      </c>
      <c r="B9218"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9218">
        <v>43918979</v>
      </c>
      <c r="D9218">
        <v>181404</v>
      </c>
    </row>
    <row r="9219" spans="1:4" x14ac:dyDescent="0.25">
      <c r="A9219" t="str">
        <f>T("   330610")</f>
        <v xml:space="preserve">   330610</v>
      </c>
      <c r="B9219" t="str">
        <f>T("   Dentifrices, préparés, même des types utilisés par les dentistes")</f>
        <v xml:space="preserve">   Dentifrices, préparés, même des types utilisés par les dentistes</v>
      </c>
      <c r="C9219">
        <v>65427824</v>
      </c>
      <c r="D9219">
        <v>424131</v>
      </c>
    </row>
    <row r="9220" spans="1:4" x14ac:dyDescent="0.25">
      <c r="A9220" t="str">
        <f>T("   330710")</f>
        <v xml:space="preserve">   330710</v>
      </c>
      <c r="B9220" t="str">
        <f>T("   Préparations pour le prérasage, le rasage ou l'après-rasage")</f>
        <v xml:space="preserve">   Préparations pour le prérasage, le rasage ou l'après-rasage</v>
      </c>
      <c r="C9220">
        <v>374577</v>
      </c>
      <c r="D9220">
        <v>200</v>
      </c>
    </row>
    <row r="9221" spans="1:4" x14ac:dyDescent="0.25">
      <c r="A9221" t="str">
        <f>T("   330720")</f>
        <v xml:space="preserve">   330720</v>
      </c>
      <c r="B9221" t="str">
        <f>T("   Désodorisants corporels et antisudoraux, préparés")</f>
        <v xml:space="preserve">   Désodorisants corporels et antisudoraux, préparés</v>
      </c>
      <c r="C9221">
        <v>623469</v>
      </c>
      <c r="D9221">
        <v>1535.5</v>
      </c>
    </row>
    <row r="9222" spans="1:4" x14ac:dyDescent="0.25">
      <c r="A9222" t="str">
        <f>T("   340111")</f>
        <v xml:space="preserve">   340111</v>
      </c>
      <c r="B9222" t="s">
        <v>98</v>
      </c>
      <c r="C9222">
        <v>354932274</v>
      </c>
      <c r="D9222">
        <v>1781457</v>
      </c>
    </row>
    <row r="9223" spans="1:4" x14ac:dyDescent="0.25">
      <c r="A9223" t="str">
        <f>T("   340119")</f>
        <v xml:space="preserve">   340119</v>
      </c>
      <c r="B9223" t="s">
        <v>99</v>
      </c>
      <c r="C9223">
        <v>705276996</v>
      </c>
      <c r="D9223">
        <v>4070472</v>
      </c>
    </row>
    <row r="9224" spans="1:4" x14ac:dyDescent="0.25">
      <c r="A9224" t="str">
        <f>T("   340120")</f>
        <v xml:space="preserve">   340120</v>
      </c>
      <c r="B9224" t="str">
        <f>T("   Savons en flocons, en paillettes, en granulés ou en poudres et savons liquides ou pâteux")</f>
        <v xml:space="preserve">   Savons en flocons, en paillettes, en granulés ou en poudres et savons liquides ou pâteux</v>
      </c>
      <c r="C9224">
        <v>14543692</v>
      </c>
      <c r="D9224">
        <v>112554</v>
      </c>
    </row>
    <row r="9225" spans="1:4" x14ac:dyDescent="0.25">
      <c r="A9225" t="str">
        <f>T("   340130")</f>
        <v xml:space="preserve">   340130</v>
      </c>
      <c r="B9225"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9225">
        <v>5331508</v>
      </c>
      <c r="D9225">
        <v>31440</v>
      </c>
    </row>
    <row r="9226" spans="1:4" x14ac:dyDescent="0.25">
      <c r="A9226" t="str">
        <f>T("   340211")</f>
        <v xml:space="preserve">   340211</v>
      </c>
      <c r="B9226" t="str">
        <f>T("   Agents de surface organiques, anioniques, même conditionnés pour la vente au détail (à l'excl. des savons)")</f>
        <v xml:space="preserve">   Agents de surface organiques, anioniques, même conditionnés pour la vente au détail (à l'excl. des savons)</v>
      </c>
      <c r="C9226">
        <v>2000000</v>
      </c>
      <c r="D9226">
        <v>42827</v>
      </c>
    </row>
    <row r="9227" spans="1:4" x14ac:dyDescent="0.25">
      <c r="A9227" t="str">
        <f>T("   340219")</f>
        <v xml:space="preserve">   340219</v>
      </c>
      <c r="B9227"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9227">
        <v>38488538</v>
      </c>
      <c r="D9227">
        <v>97806</v>
      </c>
    </row>
    <row r="9228" spans="1:4" x14ac:dyDescent="0.25">
      <c r="A9228" t="str">
        <f>T("   340220")</f>
        <v xml:space="preserve">   340220</v>
      </c>
      <c r="B9228" t="s">
        <v>100</v>
      </c>
      <c r="C9228">
        <v>406603113</v>
      </c>
      <c r="D9228">
        <v>3240312</v>
      </c>
    </row>
    <row r="9229" spans="1:4" x14ac:dyDescent="0.25">
      <c r="A9229" t="str">
        <f>T("   340290")</f>
        <v xml:space="preserve">   340290</v>
      </c>
      <c r="B9229" t="s">
        <v>101</v>
      </c>
      <c r="C9229">
        <v>30569563</v>
      </c>
      <c r="D9229">
        <v>238345</v>
      </c>
    </row>
    <row r="9230" spans="1:4" x14ac:dyDescent="0.25">
      <c r="A9230" t="str">
        <f>T("   340399")</f>
        <v xml:space="preserve">   340399</v>
      </c>
      <c r="B9230" t="s">
        <v>103</v>
      </c>
      <c r="C9230">
        <v>1090456</v>
      </c>
      <c r="D9230">
        <v>480</v>
      </c>
    </row>
    <row r="9231" spans="1:4" x14ac:dyDescent="0.25">
      <c r="A9231" t="str">
        <f>T("   340600")</f>
        <v xml:space="preserve">   340600</v>
      </c>
      <c r="B9231" t="str">
        <f>T("   Bougies, chandelles, cierges et articles simil.")</f>
        <v xml:space="preserve">   Bougies, chandelles, cierges et articles simil.</v>
      </c>
      <c r="C9231">
        <v>88155502</v>
      </c>
      <c r="D9231">
        <v>512637</v>
      </c>
    </row>
    <row r="9232" spans="1:4" x14ac:dyDescent="0.25">
      <c r="A9232" t="str">
        <f>T("   350190")</f>
        <v xml:space="preserve">   350190</v>
      </c>
      <c r="B9232" t="str">
        <f>T("   Caséinates et autres dérivés des caséines; colles de caséine (à l'excl. des produits conditionnés pour la vente au détail comme colles et d'un poids net &lt;= 1 kg)")</f>
        <v xml:space="preserve">   Caséinates et autres dérivés des caséines; colles de caséine (à l'excl. des produits conditionnés pour la vente au détail comme colles et d'un poids net &lt;= 1 kg)</v>
      </c>
      <c r="C9232">
        <v>1165002</v>
      </c>
      <c r="D9232">
        <v>5880</v>
      </c>
    </row>
    <row r="9233" spans="1:4" x14ac:dyDescent="0.25">
      <c r="A9233" t="str">
        <f>T("   350520")</f>
        <v xml:space="preserve">   350520</v>
      </c>
      <c r="B9233"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9233">
        <v>334201</v>
      </c>
      <c r="D9233">
        <v>350</v>
      </c>
    </row>
    <row r="9234" spans="1:4" x14ac:dyDescent="0.25">
      <c r="A9234" t="str">
        <f>T("   350610")</f>
        <v xml:space="preserve">   350610</v>
      </c>
      <c r="B9234"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9234">
        <v>515038</v>
      </c>
      <c r="D9234">
        <v>1132</v>
      </c>
    </row>
    <row r="9235" spans="1:4" x14ac:dyDescent="0.25">
      <c r="A9235" t="str">
        <f>T("   350691")</f>
        <v xml:space="preserve">   350691</v>
      </c>
      <c r="B9235"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9235">
        <v>2535125</v>
      </c>
      <c r="D9235">
        <v>7287</v>
      </c>
    </row>
    <row r="9236" spans="1:4" x14ac:dyDescent="0.25">
      <c r="A9236" t="str">
        <f>T("   350699")</f>
        <v xml:space="preserve">   350699</v>
      </c>
      <c r="B9236" t="str">
        <f>T("   Colles et autres adhésifs préparés, n.d.a.")</f>
        <v xml:space="preserve">   Colles et autres adhésifs préparés, n.d.a.</v>
      </c>
      <c r="C9236">
        <v>2309761</v>
      </c>
      <c r="D9236">
        <v>8872</v>
      </c>
    </row>
    <row r="9237" spans="1:4" x14ac:dyDescent="0.25">
      <c r="A9237" t="str">
        <f>T("   360500")</f>
        <v xml:space="preserve">   360500</v>
      </c>
      <c r="B9237" t="str">
        <f>T("   Allumettes (autres que les articles de pyrotechnie du n° 3604)")</f>
        <v xml:space="preserve">   Allumettes (autres que les articles de pyrotechnie du n° 3604)</v>
      </c>
      <c r="C9237">
        <v>18145464</v>
      </c>
      <c r="D9237">
        <v>52116</v>
      </c>
    </row>
    <row r="9238" spans="1:4" x14ac:dyDescent="0.25">
      <c r="A9238" t="str">
        <f>T("   370254")</f>
        <v xml:space="preserve">   370254</v>
      </c>
      <c r="B9238" t="s">
        <v>112</v>
      </c>
      <c r="C9238">
        <v>8257715</v>
      </c>
      <c r="D9238">
        <v>15431</v>
      </c>
    </row>
    <row r="9239" spans="1:4" x14ac:dyDescent="0.25">
      <c r="A9239" t="str">
        <f>T("   370293")</f>
        <v xml:space="preserve">   370293</v>
      </c>
      <c r="B9239" t="s">
        <v>113</v>
      </c>
      <c r="C9239">
        <v>327690</v>
      </c>
      <c r="D9239">
        <v>550</v>
      </c>
    </row>
    <row r="9240" spans="1:4" x14ac:dyDescent="0.25">
      <c r="A9240" t="str">
        <f>T("   370320")</f>
        <v xml:space="preserve">   370320</v>
      </c>
      <c r="B9240"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9240">
        <v>2751000</v>
      </c>
      <c r="D9240">
        <v>5070</v>
      </c>
    </row>
    <row r="9241" spans="1:4" x14ac:dyDescent="0.25">
      <c r="A9241" t="str">
        <f>T("   370390")</f>
        <v xml:space="preserve">   370390</v>
      </c>
      <c r="B9241"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9241">
        <v>4959849</v>
      </c>
      <c r="D9241">
        <v>10869</v>
      </c>
    </row>
    <row r="9242" spans="1:4" x14ac:dyDescent="0.25">
      <c r="A9242" t="str">
        <f>T("   370400")</f>
        <v xml:space="preserve">   370400</v>
      </c>
      <c r="B9242" t="str">
        <f>T("   PLAQUES, PELLICULES, FILMS, PAPIERS, CARTONS ET TEXTILES, PHOTOGRAPHIQUES, IMPRESSIONNÉS MAIS NON-DÉVELOPPÉS")</f>
        <v xml:space="preserve">   PLAQUES, PELLICULES, FILMS, PAPIERS, CARTONS ET TEXTILES, PHOTOGRAPHIQUES, IMPRESSIONNÉS MAIS NON-DÉVELOPPÉS</v>
      </c>
      <c r="C9242">
        <v>1092299</v>
      </c>
      <c r="D9242">
        <v>1620</v>
      </c>
    </row>
    <row r="9243" spans="1:4" x14ac:dyDescent="0.25">
      <c r="A9243" t="str">
        <f>T("   370790")</f>
        <v xml:space="preserve">   370790</v>
      </c>
      <c r="B9243" t="s">
        <v>115</v>
      </c>
      <c r="C9243">
        <v>87384</v>
      </c>
      <c r="D9243">
        <v>1220</v>
      </c>
    </row>
    <row r="9244" spans="1:4" x14ac:dyDescent="0.25">
      <c r="A9244" t="str">
        <f>T("   380810")</f>
        <v xml:space="preserve">   380810</v>
      </c>
      <c r="B9244"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9244">
        <v>69662340</v>
      </c>
      <c r="D9244">
        <v>337485</v>
      </c>
    </row>
    <row r="9245" spans="1:4" x14ac:dyDescent="0.25">
      <c r="A9245" t="str">
        <f>T("   380820")</f>
        <v xml:space="preserve">   380820</v>
      </c>
      <c r="B9245" t="str">
        <f>T("   Fongicides présentés dans des formes ou emballages de vente au détail ou à l'état de préparations ou sous forme d'articles")</f>
        <v xml:space="preserve">   Fongicides présentés dans des formes ou emballages de vente au détail ou à l'état de préparations ou sous forme d'articles</v>
      </c>
      <c r="C9245">
        <v>2724888</v>
      </c>
      <c r="D9245">
        <v>46774</v>
      </c>
    </row>
    <row r="9246" spans="1:4" x14ac:dyDescent="0.25">
      <c r="A9246" t="str">
        <f>T("   380830")</f>
        <v xml:space="preserve">   380830</v>
      </c>
      <c r="B9246" t="str">
        <f>T("   Herbicides, inhibiteurs de germination et régulateurs de croissance pour plantes, présentés dans des formes ou emballages de vente au détail ou à l'état de préparations ou sous forme d'articles")</f>
        <v xml:space="preserve">   Herbicides, inhibiteurs de germination et régulateurs de croissance pour plantes, présentés dans des formes ou emballages de vente au détail ou à l'état de préparations ou sous forme d'articles</v>
      </c>
      <c r="C9246">
        <v>9117461</v>
      </c>
      <c r="D9246">
        <v>221880</v>
      </c>
    </row>
    <row r="9247" spans="1:4" x14ac:dyDescent="0.25">
      <c r="A9247" t="str">
        <f>T("   380840")</f>
        <v xml:space="preserve">   380840</v>
      </c>
      <c r="B9247"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9247">
        <v>728841</v>
      </c>
      <c r="D9247">
        <v>240</v>
      </c>
    </row>
    <row r="9248" spans="1:4" x14ac:dyDescent="0.25">
      <c r="A9248" t="str">
        <f>T("   380890")</f>
        <v xml:space="preserve">   380890</v>
      </c>
      <c r="B9248"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9248">
        <v>5158311</v>
      </c>
      <c r="D9248">
        <v>21480</v>
      </c>
    </row>
    <row r="9249" spans="1:4" x14ac:dyDescent="0.25">
      <c r="A9249" t="str">
        <f>T("   381010")</f>
        <v xml:space="preserve">   381010</v>
      </c>
      <c r="B9249" t="str">
        <f>T("   Préparations pour le décapage des métaux; pâtes et poudres à souder ou à braser composées de métal et d'autres produits")</f>
        <v xml:space="preserve">   Préparations pour le décapage des métaux; pâtes et poudres à souder ou à braser composées de métal et d'autres produits</v>
      </c>
      <c r="C9249">
        <v>6000000</v>
      </c>
      <c r="D9249">
        <v>70650</v>
      </c>
    </row>
    <row r="9250" spans="1:4" x14ac:dyDescent="0.25">
      <c r="A9250" t="str">
        <f>T("   381090")</f>
        <v xml:space="preserve">   381090</v>
      </c>
      <c r="B9250" t="s">
        <v>119</v>
      </c>
      <c r="C9250">
        <v>4689056</v>
      </c>
      <c r="D9250">
        <v>35575</v>
      </c>
    </row>
    <row r="9251" spans="1:4" x14ac:dyDescent="0.25">
      <c r="A9251" t="str">
        <f>T("   381400")</f>
        <v xml:space="preserve">   381400</v>
      </c>
      <c r="B9251"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9251">
        <v>6347280</v>
      </c>
      <c r="D9251">
        <v>21368</v>
      </c>
    </row>
    <row r="9252" spans="1:4" x14ac:dyDescent="0.25">
      <c r="A9252" t="str">
        <f>T("   381600")</f>
        <v xml:space="preserve">   381600</v>
      </c>
      <c r="B9252"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9252">
        <v>29091</v>
      </c>
      <c r="D9252">
        <v>30</v>
      </c>
    </row>
    <row r="9253" spans="1:4" x14ac:dyDescent="0.25">
      <c r="A9253" t="str">
        <f>T("   382319")</f>
        <v xml:space="preserve">   382319</v>
      </c>
      <c r="B9253" t="str">
        <f>T("   Acides gras monocarboxyliques industriels; huiles acides de raffinage (à l'excl. de l'acide stéarique, de l'acide oléique et des tall acides gras)")</f>
        <v xml:space="preserve">   Acides gras monocarboxyliques industriels; huiles acides de raffinage (à l'excl. de l'acide stéarique, de l'acide oléique et des tall acides gras)</v>
      </c>
      <c r="C9253">
        <v>29091</v>
      </c>
      <c r="D9253">
        <v>5</v>
      </c>
    </row>
    <row r="9254" spans="1:4" x14ac:dyDescent="0.25">
      <c r="A9254" t="str">
        <f>T("   382440")</f>
        <v xml:space="preserve">   382440</v>
      </c>
      <c r="B9254" t="str">
        <f>T("   Additifs préparés pour ciments, mortiers ou bétons")</f>
        <v xml:space="preserve">   Additifs préparés pour ciments, mortiers ou bétons</v>
      </c>
      <c r="C9254">
        <v>6181024</v>
      </c>
      <c r="D9254">
        <v>11240</v>
      </c>
    </row>
    <row r="9255" spans="1:4" x14ac:dyDescent="0.25">
      <c r="A9255" t="str">
        <f>T("   390190")</f>
        <v xml:space="preserve">   390190</v>
      </c>
      <c r="B9255"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9255">
        <v>5047000</v>
      </c>
      <c r="D9255">
        <v>46200</v>
      </c>
    </row>
    <row r="9256" spans="1:4" x14ac:dyDescent="0.25">
      <c r="A9256" t="str">
        <f>T("   390210")</f>
        <v xml:space="preserve">   390210</v>
      </c>
      <c r="B9256" t="str">
        <f>T("   Polypropylène, sous formes primaires")</f>
        <v xml:space="preserve">   Polypropylène, sous formes primaires</v>
      </c>
      <c r="C9256">
        <v>8382944</v>
      </c>
      <c r="D9256">
        <v>25000</v>
      </c>
    </row>
    <row r="9257" spans="1:4" x14ac:dyDescent="0.25">
      <c r="A9257" t="str">
        <f>T("   390319")</f>
        <v xml:space="preserve">   390319</v>
      </c>
      <c r="B9257" t="str">
        <f>T("   Polystyrène sous formes primaires (à l'excl. du polystyrène expansible)")</f>
        <v xml:space="preserve">   Polystyrène sous formes primaires (à l'excl. du polystyrène expansible)</v>
      </c>
      <c r="C9257">
        <v>9991178</v>
      </c>
      <c r="D9257">
        <v>10930</v>
      </c>
    </row>
    <row r="9258" spans="1:4" x14ac:dyDescent="0.25">
      <c r="A9258" t="str">
        <f>T("   390529")</f>
        <v xml:space="preserve">   390529</v>
      </c>
      <c r="B9258" t="str">
        <f>T("   Copolymères d'acétate de vinyle, sous formes primaires (à l'excl. des produits en dispersion aqueuse)")</f>
        <v xml:space="preserve">   Copolymères d'acétate de vinyle, sous formes primaires (à l'excl. des produits en dispersion aqueuse)</v>
      </c>
      <c r="C9258">
        <v>2297074</v>
      </c>
      <c r="D9258">
        <v>5260</v>
      </c>
    </row>
    <row r="9259" spans="1:4" x14ac:dyDescent="0.25">
      <c r="A9259" t="str">
        <f>T("   390720")</f>
        <v xml:space="preserve">   390720</v>
      </c>
      <c r="B9259" t="str">
        <f>T("   Polyéthers, sous formes primaires (à l'excl. des polyacétals)")</f>
        <v xml:space="preserve">   Polyéthers, sous formes primaires (à l'excl. des polyacétals)</v>
      </c>
      <c r="C9259">
        <v>31612493</v>
      </c>
      <c r="D9259">
        <v>17800</v>
      </c>
    </row>
    <row r="9260" spans="1:4" x14ac:dyDescent="0.25">
      <c r="A9260" t="str">
        <f>T("   390750")</f>
        <v xml:space="preserve">   390750</v>
      </c>
      <c r="B9260" t="str">
        <f>T("   Résines alkydes, sous formes primaires")</f>
        <v xml:space="preserve">   Résines alkydes, sous formes primaires</v>
      </c>
      <c r="C9260">
        <v>2282327</v>
      </c>
      <c r="D9260">
        <v>7305</v>
      </c>
    </row>
    <row r="9261" spans="1:4" x14ac:dyDescent="0.25">
      <c r="A9261" t="str">
        <f>T("   391721")</f>
        <v xml:space="preserve">   391721</v>
      </c>
      <c r="B9261" t="str">
        <f>T("   TUBES ET TUYAUX RIGIDES, EN POLYMÈRES DE L'ÉTHYLÈNE")</f>
        <v xml:space="preserve">   TUBES ET TUYAUX RIGIDES, EN POLYMÈRES DE L'ÉTHYLÈNE</v>
      </c>
      <c r="C9261">
        <v>22665432</v>
      </c>
      <c r="D9261">
        <v>117014</v>
      </c>
    </row>
    <row r="9262" spans="1:4" x14ac:dyDescent="0.25">
      <c r="A9262" t="str">
        <f>T("   391723")</f>
        <v xml:space="preserve">   391723</v>
      </c>
      <c r="B9262" t="str">
        <f>T("   TUBES ET TUYAUX RIGIDES, EN POLYMÈRES DU CHLORURE DE VINYLE")</f>
        <v xml:space="preserve">   TUBES ET TUYAUX RIGIDES, EN POLYMÈRES DU CHLORURE DE VINYLE</v>
      </c>
      <c r="C9262">
        <v>203211482</v>
      </c>
      <c r="D9262">
        <v>355515</v>
      </c>
    </row>
    <row r="9263" spans="1:4" x14ac:dyDescent="0.25">
      <c r="A9263" t="str">
        <f>T("   391729")</f>
        <v xml:space="preserve">   391729</v>
      </c>
      <c r="B9263"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9263">
        <v>5364398</v>
      </c>
      <c r="D9263">
        <v>13760</v>
      </c>
    </row>
    <row r="9264" spans="1:4" x14ac:dyDescent="0.25">
      <c r="A9264" t="str">
        <f>T("   391739")</f>
        <v xml:space="preserve">   391739</v>
      </c>
      <c r="B9264"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9264">
        <v>4362941</v>
      </c>
      <c r="D9264">
        <v>20366</v>
      </c>
    </row>
    <row r="9265" spans="1:4" x14ac:dyDescent="0.25">
      <c r="A9265" t="str">
        <f>T("   391740")</f>
        <v xml:space="preserve">   391740</v>
      </c>
      <c r="B9265" t="str">
        <f>T("   Accessoires pour tubes ou tuyaux [joints, coudes, raccords, par exemple], en matières plastiques")</f>
        <v xml:space="preserve">   Accessoires pour tubes ou tuyaux [joints, coudes, raccords, par exemple], en matières plastiques</v>
      </c>
      <c r="C9265">
        <v>8823905</v>
      </c>
      <c r="D9265">
        <v>12062</v>
      </c>
    </row>
    <row r="9266" spans="1:4" x14ac:dyDescent="0.25">
      <c r="A9266" t="str">
        <f>T("   391890")</f>
        <v xml:space="preserve">   391890</v>
      </c>
      <c r="B9266" t="s">
        <v>126</v>
      </c>
      <c r="C9266">
        <v>3523159</v>
      </c>
      <c r="D9266">
        <v>17220</v>
      </c>
    </row>
    <row r="9267" spans="1:4" x14ac:dyDescent="0.25">
      <c r="A9267" t="str">
        <f>T("   391990")</f>
        <v xml:space="preserve">   391990</v>
      </c>
      <c r="B9267" t="s">
        <v>127</v>
      </c>
      <c r="C9267">
        <v>218178</v>
      </c>
      <c r="D9267">
        <v>420</v>
      </c>
    </row>
    <row r="9268" spans="1:4" x14ac:dyDescent="0.25">
      <c r="A9268" t="str">
        <f>T("   392010")</f>
        <v xml:space="preserve">   392010</v>
      </c>
      <c r="B9268" t="s">
        <v>128</v>
      </c>
      <c r="C9268">
        <v>6124663</v>
      </c>
      <c r="D9268">
        <v>5220</v>
      </c>
    </row>
    <row r="9269" spans="1:4" x14ac:dyDescent="0.25">
      <c r="A9269" t="str">
        <f>T("   392020")</f>
        <v xml:space="preserve">   392020</v>
      </c>
      <c r="B9269" t="s">
        <v>129</v>
      </c>
      <c r="C9269">
        <v>42358050</v>
      </c>
      <c r="D9269">
        <v>20000</v>
      </c>
    </row>
    <row r="9270" spans="1:4" x14ac:dyDescent="0.25">
      <c r="A9270" t="str">
        <f>T("   392049")</f>
        <v xml:space="preserve">   392049</v>
      </c>
      <c r="B9270" t="s">
        <v>131</v>
      </c>
      <c r="C9270">
        <v>7767857</v>
      </c>
      <c r="D9270">
        <v>14101</v>
      </c>
    </row>
    <row r="9271" spans="1:4" x14ac:dyDescent="0.25">
      <c r="A9271" t="str">
        <f>T("   392062")</f>
        <v xml:space="preserve">   392062</v>
      </c>
      <c r="B9271" t="s">
        <v>132</v>
      </c>
      <c r="C9271">
        <v>4653647</v>
      </c>
      <c r="D9271">
        <v>12595</v>
      </c>
    </row>
    <row r="9272" spans="1:4" x14ac:dyDescent="0.25">
      <c r="A9272" t="str">
        <f>T("   392190")</f>
        <v xml:space="preserve">   392190</v>
      </c>
      <c r="B9272" t="s">
        <v>141</v>
      </c>
      <c r="C9272">
        <v>43636</v>
      </c>
      <c r="D9272">
        <v>940</v>
      </c>
    </row>
    <row r="9273" spans="1:4" x14ac:dyDescent="0.25">
      <c r="A9273" t="str">
        <f>T("   392210")</f>
        <v xml:space="preserve">   392210</v>
      </c>
      <c r="B9273" t="str">
        <f>T("   Baignoires, douches, éviers et lavabos, en matières plastiques")</f>
        <v xml:space="preserve">   Baignoires, douches, éviers et lavabos, en matières plastiques</v>
      </c>
      <c r="C9273">
        <v>230480</v>
      </c>
      <c r="D9273">
        <v>1360</v>
      </c>
    </row>
    <row r="9274" spans="1:4" x14ac:dyDescent="0.25">
      <c r="A9274" t="str">
        <f>T("   392290")</f>
        <v xml:space="preserve">   392290</v>
      </c>
      <c r="B9274"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9274">
        <v>32000</v>
      </c>
      <c r="D9274">
        <v>80</v>
      </c>
    </row>
    <row r="9275" spans="1:4" x14ac:dyDescent="0.25">
      <c r="A9275" t="str">
        <f>T("   392310")</f>
        <v xml:space="preserve">   392310</v>
      </c>
      <c r="B9275" t="str">
        <f>T("   Boîtes, caisses, casiers et articles simil. pour le transport ou l'emballage, en matières plastiques")</f>
        <v xml:space="preserve">   Boîtes, caisses, casiers et articles simil. pour le transport ou l'emballage, en matières plastiques</v>
      </c>
      <c r="C9275">
        <v>341530124</v>
      </c>
      <c r="D9275">
        <v>452525</v>
      </c>
    </row>
    <row r="9276" spans="1:4" x14ac:dyDescent="0.25">
      <c r="A9276" t="str">
        <f>T("   392321")</f>
        <v xml:space="preserve">   392321</v>
      </c>
      <c r="B9276" t="str">
        <f>T("   Sacs, sachets, pochettes et cornets, en polymères de l'éthylène")</f>
        <v xml:space="preserve">   Sacs, sachets, pochettes et cornets, en polymères de l'éthylène</v>
      </c>
      <c r="C9276">
        <v>180244146</v>
      </c>
      <c r="D9276">
        <v>771214.96</v>
      </c>
    </row>
    <row r="9277" spans="1:4" x14ac:dyDescent="0.25">
      <c r="A9277" t="str">
        <f>T("   392329")</f>
        <v xml:space="preserve">   392329</v>
      </c>
      <c r="B9277" t="str">
        <f>T("   Sacs, sachets, pochettes et cornets, en matières plastiques (autres que les polymères de l'éthylène)")</f>
        <v xml:space="preserve">   Sacs, sachets, pochettes et cornets, en matières plastiques (autres que les polymères de l'éthylène)</v>
      </c>
      <c r="C9277">
        <v>603930421</v>
      </c>
      <c r="D9277">
        <v>4898934</v>
      </c>
    </row>
    <row r="9278" spans="1:4" x14ac:dyDescent="0.25">
      <c r="A9278" t="str">
        <f>T("   392330")</f>
        <v xml:space="preserve">   392330</v>
      </c>
      <c r="B9278" t="str">
        <f>T("   Bonbonnes, bouteilles, flacons et articles simil. pour le transport ou l'emballage, en matières plastiques")</f>
        <v xml:space="preserve">   Bonbonnes, bouteilles, flacons et articles simil. pour le transport ou l'emballage, en matières plastiques</v>
      </c>
      <c r="C9278">
        <v>206031854</v>
      </c>
      <c r="D9278">
        <v>454567</v>
      </c>
    </row>
    <row r="9279" spans="1:4" x14ac:dyDescent="0.25">
      <c r="A9279" t="str">
        <f>T("   392340")</f>
        <v xml:space="preserve">   392340</v>
      </c>
      <c r="B9279" t="str">
        <f>T("   Bobines, fusettes, canettes et supports simil., en matières plastiques")</f>
        <v xml:space="preserve">   Bobines, fusettes, canettes et supports simil., en matières plastiques</v>
      </c>
      <c r="C9279">
        <v>610249</v>
      </c>
      <c r="D9279">
        <v>3900</v>
      </c>
    </row>
    <row r="9280" spans="1:4" x14ac:dyDescent="0.25">
      <c r="A9280" t="str">
        <f>T("   392390")</f>
        <v xml:space="preserve">   392390</v>
      </c>
      <c r="B9280" t="s">
        <v>142</v>
      </c>
      <c r="C9280">
        <v>3544805</v>
      </c>
      <c r="D9280">
        <v>13380</v>
      </c>
    </row>
    <row r="9281" spans="1:4" x14ac:dyDescent="0.25">
      <c r="A9281" t="str">
        <f>T("   392410")</f>
        <v xml:space="preserve">   392410</v>
      </c>
      <c r="B9281" t="str">
        <f>T("   Vaisselle et autres articles pour le service de la table ou de la cuisine, en matières plastiques")</f>
        <v xml:space="preserve">   Vaisselle et autres articles pour le service de la table ou de la cuisine, en matières plastiques</v>
      </c>
      <c r="C9281">
        <v>42162919</v>
      </c>
      <c r="D9281">
        <v>135113</v>
      </c>
    </row>
    <row r="9282" spans="1:4" x14ac:dyDescent="0.25">
      <c r="A9282" t="str">
        <f>T("   392490")</f>
        <v xml:space="preserve">   392490</v>
      </c>
      <c r="B9282" t="s">
        <v>143</v>
      </c>
      <c r="C9282">
        <v>21754728</v>
      </c>
      <c r="D9282">
        <v>33757</v>
      </c>
    </row>
    <row r="9283" spans="1:4" x14ac:dyDescent="0.25">
      <c r="A9283" t="str">
        <f>T("   392520")</f>
        <v xml:space="preserve">   392520</v>
      </c>
      <c r="B9283" t="str">
        <f>T("   Portes, fenêtres et leurs cadres, chambranles et seuils, en matières plastiques")</f>
        <v xml:space="preserve">   Portes, fenêtres et leurs cadres, chambranles et seuils, en matières plastiques</v>
      </c>
      <c r="C9283">
        <v>8612730</v>
      </c>
      <c r="D9283">
        <v>1570</v>
      </c>
    </row>
    <row r="9284" spans="1:4" x14ac:dyDescent="0.25">
      <c r="A9284" t="str">
        <f>T("   392590")</f>
        <v xml:space="preserve">   392590</v>
      </c>
      <c r="B9284" t="s">
        <v>144</v>
      </c>
      <c r="C9284">
        <v>10052579</v>
      </c>
      <c r="D9284">
        <v>7616</v>
      </c>
    </row>
    <row r="9285" spans="1:4" x14ac:dyDescent="0.25">
      <c r="A9285" t="str">
        <f>T("   392610")</f>
        <v xml:space="preserve">   392610</v>
      </c>
      <c r="B9285" t="str">
        <f>T("   Articles de bureau et articles scolaires, en matières plastiques, n.d.a.")</f>
        <v xml:space="preserve">   Articles de bureau et articles scolaires, en matières plastiques, n.d.a.</v>
      </c>
      <c r="C9285">
        <v>2064830</v>
      </c>
      <c r="D9285">
        <v>3810</v>
      </c>
    </row>
    <row r="9286" spans="1:4" x14ac:dyDescent="0.25">
      <c r="A9286" t="str">
        <f>T("   392620")</f>
        <v xml:space="preserve">   392620</v>
      </c>
      <c r="B9286"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9286">
        <v>21846889</v>
      </c>
      <c r="D9286">
        <v>44668</v>
      </c>
    </row>
    <row r="9287" spans="1:4" x14ac:dyDescent="0.25">
      <c r="A9287" t="str">
        <f>T("   392630")</f>
        <v xml:space="preserve">   392630</v>
      </c>
      <c r="B9287" t="str">
        <f>T("   Garnitures pour meubles, carrosseries ou simil., en matières plastiques (à l'excl. des articles d'équipement pour la construction destinés à être fixés à demeure sur des parties de bâtiments)")</f>
        <v xml:space="preserve">   Garnitures pour meubles, carrosseries ou simil., en matières plastiques (à l'excl. des articles d'équipement pour la construction destinés à être fixés à demeure sur des parties de bâtiments)</v>
      </c>
      <c r="C9287">
        <v>3835995</v>
      </c>
      <c r="D9287">
        <v>17250</v>
      </c>
    </row>
    <row r="9288" spans="1:4" x14ac:dyDescent="0.25">
      <c r="A9288" t="str">
        <f>T("   392640")</f>
        <v xml:space="preserve">   392640</v>
      </c>
      <c r="B9288" t="str">
        <f>T("   Statuettes et autres objets d'ornementation, en matières plastiques")</f>
        <v xml:space="preserve">   Statuettes et autres objets d'ornementation, en matières plastiques</v>
      </c>
      <c r="C9288">
        <v>500000</v>
      </c>
      <c r="D9288">
        <v>3730</v>
      </c>
    </row>
    <row r="9289" spans="1:4" x14ac:dyDescent="0.25">
      <c r="A9289" t="str">
        <f>T("   392690")</f>
        <v xml:space="preserve">   392690</v>
      </c>
      <c r="B9289" t="str">
        <f>T("   Ouvrages en matières plastiques et ouvrages en autres matières du n° 3901 à 3914, n.d.a.")</f>
        <v xml:space="preserve">   Ouvrages en matières plastiques et ouvrages en autres matières du n° 3901 à 3914, n.d.a.</v>
      </c>
      <c r="C9289">
        <v>100620404</v>
      </c>
      <c r="D9289">
        <v>438312</v>
      </c>
    </row>
    <row r="9290" spans="1:4" x14ac:dyDescent="0.25">
      <c r="A9290" t="str">
        <f>T("   400829")</f>
        <v xml:space="preserve">   400829</v>
      </c>
      <c r="B9290" t="str">
        <f>T("   Baguettes et profilés, en caoutchouc non alvéolaire non durci")</f>
        <v xml:space="preserve">   Baguettes et profilés, en caoutchouc non alvéolaire non durci</v>
      </c>
      <c r="C9290">
        <v>43637</v>
      </c>
      <c r="D9290">
        <v>340</v>
      </c>
    </row>
    <row r="9291" spans="1:4" x14ac:dyDescent="0.25">
      <c r="A9291" t="str">
        <f>T("   400941")</f>
        <v xml:space="preserve">   400941</v>
      </c>
      <c r="B9291"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9291">
        <v>5738999</v>
      </c>
      <c r="D9291">
        <v>704</v>
      </c>
    </row>
    <row r="9292" spans="1:4" x14ac:dyDescent="0.25">
      <c r="A9292" t="str">
        <f>T("   401110")</f>
        <v xml:space="preserve">   401110</v>
      </c>
      <c r="B9292"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9292">
        <v>37718339</v>
      </c>
      <c r="D9292">
        <v>52561</v>
      </c>
    </row>
    <row r="9293" spans="1:4" x14ac:dyDescent="0.25">
      <c r="A9293" t="str">
        <f>T("   401120")</f>
        <v xml:space="preserve">   401120</v>
      </c>
      <c r="B9293"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9293">
        <v>278983345</v>
      </c>
      <c r="D9293">
        <v>548998</v>
      </c>
    </row>
    <row r="9294" spans="1:4" x14ac:dyDescent="0.25">
      <c r="A9294" t="str">
        <f>T("   401140")</f>
        <v xml:space="preserve">   401140</v>
      </c>
      <c r="B9294" t="str">
        <f>T("   Pneumatiques neufs, en caoutchouc, des types utilisés pour les motocycles")</f>
        <v xml:space="preserve">   Pneumatiques neufs, en caoutchouc, des types utilisés pour les motocycles</v>
      </c>
      <c r="C9294">
        <v>61409410</v>
      </c>
      <c r="D9294">
        <v>102788</v>
      </c>
    </row>
    <row r="9295" spans="1:4" x14ac:dyDescent="0.25">
      <c r="A9295" t="str">
        <f>T("   401150")</f>
        <v xml:space="preserve">   401150</v>
      </c>
      <c r="B9295" t="str">
        <f>T("   Pneumatiques neufs, en caoutchouc, des types utilisés pour les bicyclettes")</f>
        <v xml:space="preserve">   Pneumatiques neufs, en caoutchouc, des types utilisés pour les bicyclettes</v>
      </c>
      <c r="C9295">
        <v>7101470</v>
      </c>
      <c r="D9295">
        <v>4174.9799999999996</v>
      </c>
    </row>
    <row r="9296" spans="1:4" x14ac:dyDescent="0.25">
      <c r="A9296" t="str">
        <f>T("   401219")</f>
        <v xml:space="preserve">   401219</v>
      </c>
      <c r="B9296"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9296">
        <v>21000000</v>
      </c>
      <c r="D9296">
        <v>128110</v>
      </c>
    </row>
    <row r="9297" spans="1:4" x14ac:dyDescent="0.25">
      <c r="A9297" t="str">
        <f>T("   401220")</f>
        <v xml:space="preserve">   401220</v>
      </c>
      <c r="B9297" t="str">
        <f>T("   Pneumatiques usagés, en caoutchouc")</f>
        <v xml:space="preserve">   Pneumatiques usagés, en caoutchouc</v>
      </c>
      <c r="C9297">
        <v>51074308</v>
      </c>
      <c r="D9297">
        <v>219792</v>
      </c>
    </row>
    <row r="9298" spans="1:4" x14ac:dyDescent="0.25">
      <c r="A9298" t="str">
        <f>T("   401310")</f>
        <v xml:space="preserve">   401310</v>
      </c>
      <c r="B9298"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9298">
        <v>500000</v>
      </c>
      <c r="D9298">
        <v>3847</v>
      </c>
    </row>
    <row r="9299" spans="1:4" x14ac:dyDescent="0.25">
      <c r="A9299" t="str">
        <f>T("   401320")</f>
        <v xml:space="preserve">   401320</v>
      </c>
      <c r="B9299" t="str">
        <f>T("   Chambres à air, en caoutchouc, des types utilisés pour les bicyclettes")</f>
        <v xml:space="preserve">   Chambres à air, en caoutchouc, des types utilisés pour les bicyclettes</v>
      </c>
      <c r="C9299">
        <v>642484</v>
      </c>
      <c r="D9299">
        <v>805.5</v>
      </c>
    </row>
    <row r="9300" spans="1:4" x14ac:dyDescent="0.25">
      <c r="A9300" t="str">
        <f>T("   401390")</f>
        <v xml:space="preserve">   401390</v>
      </c>
      <c r="B9300"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9300">
        <v>62740602</v>
      </c>
      <c r="D9300">
        <v>97441</v>
      </c>
    </row>
    <row r="9301" spans="1:4" x14ac:dyDescent="0.25">
      <c r="A9301" t="str">
        <f>T("   401490")</f>
        <v xml:space="preserve">   401490</v>
      </c>
      <c r="B9301" t="str">
        <f>T("   ARTICLES D'HYGIÈNE OU DE PHARMACIE, Y.C. LES TÉTINES, EN CAOUTCHOUC VULCANISÉ NON-DURCI, MÊME AVEC PARTIES EN CAOUTCHOUC DURCI, N.D.A. (À L'EXCL. DES PRÉSERVATIFS AINSI QUE DES VÊTEMENTS ET ACCESSOIRES DU VÊTEMENT, Y.C. LES GANTS, POUR TOUS USAGES)")</f>
        <v xml:space="preserve">   ARTICLES D'HYGIÈNE OU DE PHARMACIE, Y.C. LES TÉTINES, EN CAOUTCHOUC VULCANISÉ NON-DURCI, MÊME AVEC PARTIES EN CAOUTCHOUC DURCI, N.D.A. (À L'EXCL. DES PRÉSERVATIFS AINSI QUE DES VÊTEMENTS ET ACCESSOIRES DU VÊTEMENT, Y.C. LES GANTS, POUR TOUS USAGES)</v>
      </c>
      <c r="C9301">
        <v>1668422</v>
      </c>
      <c r="D9301">
        <v>5104</v>
      </c>
    </row>
    <row r="9302" spans="1:4" x14ac:dyDescent="0.25">
      <c r="A9302" t="str">
        <f>T("   401511")</f>
        <v xml:space="preserve">   401511</v>
      </c>
      <c r="B9302" t="str">
        <f>T("   Gants en caoutchouc vulcanisé non durci, pour la chirurgie")</f>
        <v xml:space="preserve">   Gants en caoutchouc vulcanisé non durci, pour la chirurgie</v>
      </c>
      <c r="C9302">
        <v>2420000</v>
      </c>
      <c r="D9302">
        <v>26700</v>
      </c>
    </row>
    <row r="9303" spans="1:4" x14ac:dyDescent="0.25">
      <c r="A9303" t="str">
        <f>T("   420212")</f>
        <v xml:space="preserve">   420212</v>
      </c>
      <c r="B9303"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9303">
        <v>12543943</v>
      </c>
      <c r="D9303">
        <v>32990</v>
      </c>
    </row>
    <row r="9304" spans="1:4" x14ac:dyDescent="0.25">
      <c r="A9304" t="str">
        <f>T("   420219")</f>
        <v xml:space="preserve">   420219</v>
      </c>
      <c r="B9304" t="s">
        <v>157</v>
      </c>
      <c r="C9304">
        <v>2061458</v>
      </c>
      <c r="D9304">
        <v>2490</v>
      </c>
    </row>
    <row r="9305" spans="1:4" x14ac:dyDescent="0.25">
      <c r="A9305" t="str">
        <f>T("   420221")</f>
        <v xml:space="preserve">   420221</v>
      </c>
      <c r="B9305"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9305">
        <v>3530961</v>
      </c>
      <c r="D9305">
        <v>7102</v>
      </c>
    </row>
    <row r="9306" spans="1:4" x14ac:dyDescent="0.25">
      <c r="A9306" t="str">
        <f>T("   420222")</f>
        <v xml:space="preserve">   420222</v>
      </c>
      <c r="B9306"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9306">
        <v>74944752</v>
      </c>
      <c r="D9306">
        <v>222614</v>
      </c>
    </row>
    <row r="9307" spans="1:4" x14ac:dyDescent="0.25">
      <c r="A9307" t="str">
        <f>T("   420229")</f>
        <v xml:space="preserve">   420229</v>
      </c>
      <c r="B9307"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9307">
        <v>58218509</v>
      </c>
      <c r="D9307">
        <v>289894</v>
      </c>
    </row>
    <row r="9308" spans="1:4" x14ac:dyDescent="0.25">
      <c r="A9308" t="str">
        <f>T("   420232")</f>
        <v xml:space="preserve">   420232</v>
      </c>
      <c r="B9308"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9308">
        <v>1109230</v>
      </c>
      <c r="D9308">
        <v>1280</v>
      </c>
    </row>
    <row r="9309" spans="1:4" x14ac:dyDescent="0.25">
      <c r="A9309" t="str">
        <f>T("   420239")</f>
        <v xml:space="preserve">   420239</v>
      </c>
      <c r="B9309" t="s">
        <v>158</v>
      </c>
      <c r="C9309">
        <v>3458393</v>
      </c>
      <c r="D9309">
        <v>13373</v>
      </c>
    </row>
    <row r="9310" spans="1:4" x14ac:dyDescent="0.25">
      <c r="A9310" t="str">
        <f>T("   420291")</f>
        <v xml:space="preserve">   420291</v>
      </c>
      <c r="B9310" t="s">
        <v>159</v>
      </c>
      <c r="C9310">
        <v>3523358</v>
      </c>
      <c r="D9310">
        <v>28587</v>
      </c>
    </row>
    <row r="9311" spans="1:4" x14ac:dyDescent="0.25">
      <c r="A9311" t="str">
        <f>T("   420292")</f>
        <v xml:space="preserve">   420292</v>
      </c>
      <c r="B9311" t="s">
        <v>159</v>
      </c>
      <c r="C9311">
        <v>67944585</v>
      </c>
      <c r="D9311">
        <v>194270</v>
      </c>
    </row>
    <row r="9312" spans="1:4" x14ac:dyDescent="0.25">
      <c r="A9312" t="str">
        <f>T("   420299")</f>
        <v xml:space="preserve">   420299</v>
      </c>
      <c r="B9312" t="s">
        <v>160</v>
      </c>
      <c r="C9312">
        <v>54035675</v>
      </c>
      <c r="D9312">
        <v>62020</v>
      </c>
    </row>
    <row r="9313" spans="1:4" x14ac:dyDescent="0.25">
      <c r="A9313" t="str">
        <f>T("   440110")</f>
        <v xml:space="preserve">   440110</v>
      </c>
      <c r="B9313" t="str">
        <f>T("   BOIS DE CHAUFFAGE EN RONDINS, B¹CHES, RAMILLES, FAGOTS OU SOUS FORMES SIMIL.")</f>
        <v xml:space="preserve">   BOIS DE CHAUFFAGE EN RONDINS, B¹CHES, RAMILLES, FAGOTS OU SOUS FORMES SIMIL.</v>
      </c>
      <c r="C9313">
        <v>4834378</v>
      </c>
      <c r="D9313">
        <v>1000</v>
      </c>
    </row>
    <row r="9314" spans="1:4" x14ac:dyDescent="0.25">
      <c r="A9314" t="str">
        <f>T("   440890")</f>
        <v xml:space="preserve">   440890</v>
      </c>
      <c r="B9314" t="s">
        <v>167</v>
      </c>
      <c r="C9314">
        <v>57294936</v>
      </c>
      <c r="D9314">
        <v>205421</v>
      </c>
    </row>
    <row r="9315" spans="1:4" x14ac:dyDescent="0.25">
      <c r="A9315" t="str">
        <f>T("   441213")</f>
        <v xml:space="preserve">   441213</v>
      </c>
      <c r="B9315" t="s">
        <v>176</v>
      </c>
      <c r="C9315">
        <v>88247645</v>
      </c>
      <c r="D9315">
        <v>369024</v>
      </c>
    </row>
    <row r="9316" spans="1:4" x14ac:dyDescent="0.25">
      <c r="A9316" t="str">
        <f>T("   441219")</f>
        <v xml:space="preserve">   441219</v>
      </c>
      <c r="B9316" t="s">
        <v>178</v>
      </c>
      <c r="C9316">
        <v>5897605</v>
      </c>
      <c r="D9316">
        <v>41980</v>
      </c>
    </row>
    <row r="9317" spans="1:4" x14ac:dyDescent="0.25">
      <c r="A9317" t="str">
        <f>T("   441299")</f>
        <v xml:space="preserve">   441299</v>
      </c>
      <c r="B9317" t="s">
        <v>180</v>
      </c>
      <c r="C9317">
        <v>6477140</v>
      </c>
      <c r="D9317">
        <v>26000</v>
      </c>
    </row>
    <row r="9318" spans="1:4" x14ac:dyDescent="0.25">
      <c r="A9318" t="str">
        <f>T("   441820")</f>
        <v xml:space="preserve">   441820</v>
      </c>
      <c r="B9318" t="str">
        <f>T("   Portes et leurs cadres, chambranles et seuils, en bois")</f>
        <v xml:space="preserve">   Portes et leurs cadres, chambranles et seuils, en bois</v>
      </c>
      <c r="C9318">
        <v>589842</v>
      </c>
      <c r="D9318">
        <v>3580</v>
      </c>
    </row>
    <row r="9319" spans="1:4" x14ac:dyDescent="0.25">
      <c r="A9319" t="str">
        <f>T("   441900")</f>
        <v xml:space="preserve">   441900</v>
      </c>
      <c r="B9319" t="s">
        <v>183</v>
      </c>
      <c r="C9319">
        <v>174800</v>
      </c>
      <c r="D9319">
        <v>125</v>
      </c>
    </row>
    <row r="9320" spans="1:4" x14ac:dyDescent="0.25">
      <c r="A9320" t="str">
        <f>T("   442090")</f>
        <v xml:space="preserve">   442090</v>
      </c>
      <c r="B9320" t="s">
        <v>184</v>
      </c>
      <c r="C9320">
        <v>43692</v>
      </c>
      <c r="D9320">
        <v>500</v>
      </c>
    </row>
    <row r="9321" spans="1:4" x14ac:dyDescent="0.25">
      <c r="A9321" t="str">
        <f>T("   442190")</f>
        <v xml:space="preserve">   442190</v>
      </c>
      <c r="B9321" t="str">
        <f>T("   Ouvrages, en bois, n.d.a.")</f>
        <v xml:space="preserve">   Ouvrages, en bois, n.d.a.</v>
      </c>
      <c r="C9321">
        <v>4721570</v>
      </c>
      <c r="D9321">
        <v>10939</v>
      </c>
    </row>
    <row r="9322" spans="1:4" x14ac:dyDescent="0.25">
      <c r="A9322" t="str">
        <f>T("   460120")</f>
        <v xml:space="preserve">   460120</v>
      </c>
      <c r="B9322" t="str">
        <f>T("   Nattes, paillassons et claies en matières à tresser végétales, tissés ou parallélisés, à plat")</f>
        <v xml:space="preserve">   Nattes, paillassons et claies en matières à tresser végétales, tissés ou parallélisés, à plat</v>
      </c>
      <c r="C9322">
        <v>4218460</v>
      </c>
      <c r="D9322">
        <v>19754</v>
      </c>
    </row>
    <row r="9323" spans="1:4" x14ac:dyDescent="0.25">
      <c r="A9323" t="str">
        <f>T("   460199")</f>
        <v xml:space="preserve">   460199</v>
      </c>
      <c r="B9323" t="str">
        <f>T("   MATIÈRES À TRESSER, TRESSES ET ARTICLES SIMIL., EN MATIÈRES À TRESSER NON-VÉGÉTALES, TISSÉS OU PARALLÉLISÉS, À PLAT (À L'EXCL. DES REVÊTEMENTS MURAUX DU N° 4814 AINSI QUE DES PARTIES DE CHAUSSURES OU DE COIFFURES)")</f>
        <v xml:space="preserve">   MATIÈRES À TRESSER, TRESSES ET ARTICLES SIMIL., EN MATIÈRES À TRESSER NON-VÉGÉTALES, TISSÉS OU PARALLÉLISÉS, À PLAT (À L'EXCL. DES REVÊTEMENTS MURAUX DU N° 4814 AINSI QUE DES PARTIES DE CHAUSSURES OU DE COIFFURES)</v>
      </c>
      <c r="C9323">
        <v>33250000</v>
      </c>
      <c r="D9323">
        <v>95180</v>
      </c>
    </row>
    <row r="9324" spans="1:4" x14ac:dyDescent="0.25">
      <c r="A9324" t="str">
        <f>T("   460290")</f>
        <v xml:space="preserve">   460290</v>
      </c>
      <c r="B9324" t="s">
        <v>185</v>
      </c>
      <c r="C9324">
        <v>327690</v>
      </c>
      <c r="D9324">
        <v>960</v>
      </c>
    </row>
    <row r="9325" spans="1:4" x14ac:dyDescent="0.25">
      <c r="A9325" t="str">
        <f>T("   470790")</f>
        <v xml:space="preserve">   470790</v>
      </c>
      <c r="B9325" t="s">
        <v>186</v>
      </c>
      <c r="C9325">
        <v>1082300</v>
      </c>
      <c r="D9325">
        <v>30515</v>
      </c>
    </row>
    <row r="9326" spans="1:4" x14ac:dyDescent="0.25">
      <c r="A9326" t="str">
        <f>T("   480100")</f>
        <v xml:space="preserve">   480100</v>
      </c>
      <c r="B9326"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9326">
        <v>45506</v>
      </c>
      <c r="D9326">
        <v>60</v>
      </c>
    </row>
    <row r="9327" spans="1:4" x14ac:dyDescent="0.25">
      <c r="A9327" t="str">
        <f>T("   480210")</f>
        <v xml:space="preserve">   480210</v>
      </c>
      <c r="B9327" t="str">
        <f>T("   Papiers et cartons formés feuille à feuille [papiers à la main], de tout format et de toute forme")</f>
        <v xml:space="preserve">   Papiers et cartons formés feuille à feuille [papiers à la main], de tout format et de toute forme</v>
      </c>
      <c r="C9327">
        <v>590869</v>
      </c>
      <c r="D9327">
        <v>1960</v>
      </c>
    </row>
    <row r="9328" spans="1:4" x14ac:dyDescent="0.25">
      <c r="A9328" t="str">
        <f>T("   480256")</f>
        <v xml:space="preserve">   480256</v>
      </c>
      <c r="B9328" t="s">
        <v>188</v>
      </c>
      <c r="C9328">
        <v>5000000</v>
      </c>
      <c r="D9328">
        <v>47320</v>
      </c>
    </row>
    <row r="9329" spans="1:4" x14ac:dyDescent="0.25">
      <c r="A9329" t="str">
        <f>T("   480269")</f>
        <v xml:space="preserve">   480269</v>
      </c>
      <c r="B9329" t="s">
        <v>189</v>
      </c>
      <c r="C9329">
        <v>117968</v>
      </c>
      <c r="D9329">
        <v>300</v>
      </c>
    </row>
    <row r="9330" spans="1:4" x14ac:dyDescent="0.25">
      <c r="A9330" t="str">
        <f>T("   480300")</f>
        <v xml:space="preserve">   480300</v>
      </c>
      <c r="B9330" t="s">
        <v>193</v>
      </c>
      <c r="C9330">
        <v>1476015</v>
      </c>
      <c r="D9330">
        <v>500</v>
      </c>
    </row>
    <row r="9331" spans="1:4" x14ac:dyDescent="0.25">
      <c r="A9331" t="str">
        <f>T("   480419")</f>
        <v xml:space="preserve">   480419</v>
      </c>
      <c r="B9331" t="str">
        <f>T("   PAPIERS ET CARTONS POUR COUVERTURE, DITS 'KRAFTLINER', NON-COUCHÉS NI ENDUITS, EN ROULEAUX D'UNE LARGEUR &gt; 36 CM (À L'EXCL. DES PAPIERS ET CARTONS ÉCRUS AINSI QUE DES ARTICLES DU N° 4802 OU 4803)")</f>
        <v xml:space="preserve">   PAPIERS ET CARTONS POUR COUVERTURE, DITS 'KRAFTLINER', NON-COUCHÉS NI ENDUITS, EN ROULEAUX D'UNE LARGEUR &gt; 36 CM (À L'EXCL. DES PAPIERS ET CARTONS ÉCRUS AINSI QUE DES ARTICLES DU N° 4802 OU 4803)</v>
      </c>
      <c r="C9331">
        <v>224551</v>
      </c>
      <c r="D9331">
        <v>73</v>
      </c>
    </row>
    <row r="9332" spans="1:4" x14ac:dyDescent="0.25">
      <c r="A9332" t="str">
        <f>T("   480429")</f>
        <v xml:space="preserve">   480429</v>
      </c>
      <c r="B9332" t="str">
        <f>T("   PAPIERS KRAFT POUR SACS DE GRANDE CONTENANCE, NON-COUCHÉS NI ENDUITS, EN ROULEAUX D'UNE LARGEUR &gt; 36 CM (À L'EXCL. DES PAPIERS ÉCRUS AINSI QUE DES ARTICLES DU N° 4802, 4803 OU 4808)")</f>
        <v xml:space="preserve">   PAPIERS KRAFT POUR SACS DE GRANDE CONTENANCE, NON-COUCHÉS NI ENDUITS, EN ROULEAUX D'UNE LARGEUR &gt; 36 CM (À L'EXCL. DES PAPIERS ÉCRUS AINSI QUE DES ARTICLES DU N° 4802, 4803 OU 4808)</v>
      </c>
      <c r="C9332">
        <v>77500</v>
      </c>
      <c r="D9332">
        <v>150</v>
      </c>
    </row>
    <row r="9333" spans="1:4" x14ac:dyDescent="0.25">
      <c r="A9333" t="str">
        <f>T("   480431")</f>
        <v xml:space="preserve">   480431</v>
      </c>
      <c r="B9333" t="s">
        <v>194</v>
      </c>
      <c r="C9333">
        <v>5663189</v>
      </c>
      <c r="D9333">
        <v>3675</v>
      </c>
    </row>
    <row r="9334" spans="1:4" x14ac:dyDescent="0.25">
      <c r="A9334" t="str">
        <f>T("   480459")</f>
        <v xml:space="preserve">   480459</v>
      </c>
      <c r="B9334" t="s">
        <v>196</v>
      </c>
      <c r="C9334">
        <v>3594931</v>
      </c>
      <c r="D9334">
        <v>24165</v>
      </c>
    </row>
    <row r="9335" spans="1:4" x14ac:dyDescent="0.25">
      <c r="A9335" t="str">
        <f>T("   480640")</f>
        <v xml:space="preserve">   480640</v>
      </c>
      <c r="B9335" t="s">
        <v>198</v>
      </c>
      <c r="C9335">
        <v>295203</v>
      </c>
      <c r="D9335">
        <v>400</v>
      </c>
    </row>
    <row r="9336" spans="1:4" x14ac:dyDescent="0.25">
      <c r="A9336" t="str">
        <f>T("   480890")</f>
        <v xml:space="preserve">   480890</v>
      </c>
      <c r="B9336" t="s">
        <v>201</v>
      </c>
      <c r="C9336">
        <v>174766</v>
      </c>
      <c r="D9336">
        <v>240</v>
      </c>
    </row>
    <row r="9337" spans="1:4" x14ac:dyDescent="0.25">
      <c r="A9337" t="str">
        <f>T("   480990")</f>
        <v xml:space="preserve">   480990</v>
      </c>
      <c r="B9337" t="s">
        <v>202</v>
      </c>
      <c r="C9337">
        <v>88561</v>
      </c>
      <c r="D9337">
        <v>250</v>
      </c>
    </row>
    <row r="9338" spans="1:4" x14ac:dyDescent="0.25">
      <c r="A9338" t="str">
        <f>T("   481014")</f>
        <v xml:space="preserve">   481014</v>
      </c>
      <c r="B9338" t="s">
        <v>203</v>
      </c>
      <c r="C9338">
        <v>1000000</v>
      </c>
      <c r="D9338">
        <v>7730</v>
      </c>
    </row>
    <row r="9339" spans="1:4" x14ac:dyDescent="0.25">
      <c r="A9339" t="str">
        <f>T("   481029")</f>
        <v xml:space="preserve">   481029</v>
      </c>
      <c r="B9339" t="s">
        <v>204</v>
      </c>
      <c r="C9339">
        <v>88565</v>
      </c>
      <c r="D9339">
        <v>570</v>
      </c>
    </row>
    <row r="9340" spans="1:4" x14ac:dyDescent="0.25">
      <c r="A9340" t="str">
        <f>T("   481159")</f>
        <v xml:space="preserve">   481159</v>
      </c>
      <c r="B9340" t="s">
        <v>209</v>
      </c>
      <c r="C9340">
        <v>295203</v>
      </c>
      <c r="D9340">
        <v>1020</v>
      </c>
    </row>
    <row r="9341" spans="1:4" x14ac:dyDescent="0.25">
      <c r="A9341" t="str">
        <f>T("   481390")</f>
        <v xml:space="preserve">   481390</v>
      </c>
      <c r="B9341" t="str">
        <f>T("   Papier à cigarettes, même découpé à format (à l'excl. des papiers en cahiers, en tubes ou en rouleaux d'une largeur &lt;= 5 cm)")</f>
        <v xml:space="preserve">   Papier à cigarettes, même découpé à format (à l'excl. des papiers en cahiers, en tubes ou en rouleaux d'une largeur &lt;= 5 cm)</v>
      </c>
      <c r="C9341">
        <v>2000000</v>
      </c>
      <c r="D9341">
        <v>8000</v>
      </c>
    </row>
    <row r="9342" spans="1:4" x14ac:dyDescent="0.25">
      <c r="A9342" t="str">
        <f>T("   481710")</f>
        <v xml:space="preserve">   481710</v>
      </c>
      <c r="B9342" t="str">
        <f>T("   Enveloppes, en papier ou en carton")</f>
        <v xml:space="preserve">   Enveloppes, en papier ou en carton</v>
      </c>
      <c r="C9342">
        <v>262152</v>
      </c>
      <c r="D9342">
        <v>1480</v>
      </c>
    </row>
    <row r="9343" spans="1:4" x14ac:dyDescent="0.25">
      <c r="A9343" t="str">
        <f>T("   481810")</f>
        <v xml:space="preserve">   481810</v>
      </c>
      <c r="B9343" t="str">
        <f>T("   Papier hygiénique, en rouleaux d'une largeur &lt;= 36 cm")</f>
        <v xml:space="preserve">   Papier hygiénique, en rouleaux d'une largeur &lt;= 36 cm</v>
      </c>
      <c r="C9343">
        <v>11002523</v>
      </c>
      <c r="D9343">
        <v>39560</v>
      </c>
    </row>
    <row r="9344" spans="1:4" x14ac:dyDescent="0.25">
      <c r="A9344" t="str">
        <f>T("   481820")</f>
        <v xml:space="preserve">   481820</v>
      </c>
      <c r="B9344"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9344">
        <v>8809145</v>
      </c>
      <c r="D9344">
        <v>24372</v>
      </c>
    </row>
    <row r="9345" spans="1:4" x14ac:dyDescent="0.25">
      <c r="A9345" t="str">
        <f>T("   481830")</f>
        <v xml:space="preserve">   481830</v>
      </c>
      <c r="B9345" t="str">
        <f>T("   Nappes et serviettes de table, en pâte à papier, papier, ouate de cellulose ou nappes de fibres de cellulose")</f>
        <v xml:space="preserve">   Nappes et serviettes de table, en pâte à papier, papier, ouate de cellulose ou nappes de fibres de cellulose</v>
      </c>
      <c r="C9345">
        <v>757036</v>
      </c>
      <c r="D9345">
        <v>1190</v>
      </c>
    </row>
    <row r="9346" spans="1:4" x14ac:dyDescent="0.25">
      <c r="A9346" t="str">
        <f>T("   481840")</f>
        <v xml:space="preserve">   481840</v>
      </c>
      <c r="B9346"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9346">
        <v>99158760</v>
      </c>
      <c r="D9346">
        <v>232896</v>
      </c>
    </row>
    <row r="9347" spans="1:4" x14ac:dyDescent="0.25">
      <c r="A9347" t="str">
        <f>T("   481910")</f>
        <v xml:space="preserve">   481910</v>
      </c>
      <c r="B9347" t="str">
        <f>T("   Boîtes et caisses en papier ou en carton ondulé")</f>
        <v xml:space="preserve">   Boîtes et caisses en papier ou en carton ondulé</v>
      </c>
      <c r="C9347">
        <v>32920915</v>
      </c>
      <c r="D9347">
        <v>100567</v>
      </c>
    </row>
    <row r="9348" spans="1:4" x14ac:dyDescent="0.25">
      <c r="A9348" t="str">
        <f>T("   481920")</f>
        <v xml:space="preserve">   481920</v>
      </c>
      <c r="B9348" t="str">
        <f>T("   Boîtes et cartonnages, pliants, en papier ou en carton non ondulé")</f>
        <v xml:space="preserve">   Boîtes et cartonnages, pliants, en papier ou en carton non ondulé</v>
      </c>
      <c r="C9348">
        <v>93767181</v>
      </c>
      <c r="D9348">
        <v>135805</v>
      </c>
    </row>
    <row r="9349" spans="1:4" x14ac:dyDescent="0.25">
      <c r="A9349" t="str">
        <f>T("   481960")</f>
        <v xml:space="preserve">   481960</v>
      </c>
      <c r="B9349" t="str">
        <f>T("   Cartonnages de bureau, de magasin ou simil., rigides (à l'excl. des emballages)")</f>
        <v xml:space="preserve">   Cartonnages de bureau, de magasin ou simil., rigides (à l'excl. des emballages)</v>
      </c>
      <c r="C9349">
        <v>28237992</v>
      </c>
      <c r="D9349">
        <v>40504</v>
      </c>
    </row>
    <row r="9350" spans="1:4" x14ac:dyDescent="0.25">
      <c r="A9350" t="str">
        <f>T("   482010")</f>
        <v xml:space="preserve">   482010</v>
      </c>
      <c r="B9350"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9350">
        <v>4507588</v>
      </c>
      <c r="D9350">
        <v>5937</v>
      </c>
    </row>
    <row r="9351" spans="1:4" x14ac:dyDescent="0.25">
      <c r="A9351" t="str">
        <f>T("   482020")</f>
        <v xml:space="preserve">   482020</v>
      </c>
      <c r="B9351" t="str">
        <f>T("   Cahiers pour l'écriture, en papier ou carton")</f>
        <v xml:space="preserve">   Cahiers pour l'écriture, en papier ou carton</v>
      </c>
      <c r="C9351">
        <v>81885729</v>
      </c>
      <c r="D9351">
        <v>258606</v>
      </c>
    </row>
    <row r="9352" spans="1:4" x14ac:dyDescent="0.25">
      <c r="A9352" t="str">
        <f>T("   482030")</f>
        <v xml:space="preserve">   482030</v>
      </c>
      <c r="B9352" t="str">
        <f>T("   Classeurs, reliures (autres que les couvertures pour livres), chemises et couvertures à dossiers, en papier ou en carton")</f>
        <v xml:space="preserve">   Classeurs, reliures (autres que les couvertures pour livres), chemises et couvertures à dossiers, en papier ou en carton</v>
      </c>
      <c r="C9352">
        <v>14733539</v>
      </c>
      <c r="D9352">
        <v>32923</v>
      </c>
    </row>
    <row r="9353" spans="1:4" x14ac:dyDescent="0.25">
      <c r="A9353" t="str">
        <f>T("   482040")</f>
        <v xml:space="preserve">   482040</v>
      </c>
      <c r="B9353" t="str">
        <f>T("   Liasses et carnets manifold, même comportant des feuilles de papier carbone, en papier ou carton")</f>
        <v xml:space="preserve">   Liasses et carnets manifold, même comportant des feuilles de papier carbone, en papier ou carton</v>
      </c>
      <c r="C9353">
        <v>1437269</v>
      </c>
      <c r="D9353">
        <v>1584</v>
      </c>
    </row>
    <row r="9354" spans="1:4" x14ac:dyDescent="0.25">
      <c r="A9354" t="str">
        <f>T("   482090")</f>
        <v xml:space="preserve">   482090</v>
      </c>
      <c r="B9354" t="s">
        <v>215</v>
      </c>
      <c r="C9354">
        <v>31846</v>
      </c>
      <c r="D9354">
        <v>55</v>
      </c>
    </row>
    <row r="9355" spans="1:4" x14ac:dyDescent="0.25">
      <c r="A9355" t="str">
        <f>T("   482110")</f>
        <v xml:space="preserve">   482110</v>
      </c>
      <c r="B9355" t="str">
        <f>T("   ÉTIQUETTES DE TOUS GENRES, EN PAPIER OU EN CARTON, IMPRIMÉES")</f>
        <v xml:space="preserve">   ÉTIQUETTES DE TOUS GENRES, EN PAPIER OU EN CARTON, IMPRIMÉES</v>
      </c>
      <c r="C9355">
        <v>1020762</v>
      </c>
      <c r="D9355">
        <v>12169</v>
      </c>
    </row>
    <row r="9356" spans="1:4" x14ac:dyDescent="0.25">
      <c r="A9356" t="str">
        <f>T("   482190")</f>
        <v xml:space="preserve">   482190</v>
      </c>
      <c r="B9356" t="str">
        <f>T("   ÉTIQUETTES DE TOUS GENRES, EN PAPIER OU EN CARTON, NON-IMPRIMÉES")</f>
        <v xml:space="preserve">   ÉTIQUETTES DE TOUS GENRES, EN PAPIER OU EN CARTON, NON-IMPRIMÉES</v>
      </c>
      <c r="C9356">
        <v>3197624</v>
      </c>
      <c r="D9356">
        <v>13980</v>
      </c>
    </row>
    <row r="9357" spans="1:4" x14ac:dyDescent="0.25">
      <c r="A9357" t="str">
        <f>T("   482319")</f>
        <v xml:space="preserve">   482319</v>
      </c>
      <c r="B9357" t="str">
        <f>T("   Papier gommé ou adhésif, en bandes ou en rouleaux d'une largeur &lt;= 15 cm (à l'excl. des articles auto-adhésifs)")</f>
        <v xml:space="preserve">   Papier gommé ou adhésif, en bandes ou en rouleaux d'une largeur &lt;= 15 cm (à l'excl. des articles auto-adhésifs)</v>
      </c>
      <c r="C9357">
        <v>109230</v>
      </c>
      <c r="D9357">
        <v>40</v>
      </c>
    </row>
    <row r="9358" spans="1:4" x14ac:dyDescent="0.25">
      <c r="A9358" t="str">
        <f>T("   482360")</f>
        <v xml:space="preserve">   482360</v>
      </c>
      <c r="B9358" t="str">
        <f>T("   Plateaux, plats, assiettes, tasses, gobelets et articles simil., en papier ou en carton")</f>
        <v xml:space="preserve">   Plateaux, plats, assiettes, tasses, gobelets et articles simil., en papier ou en carton</v>
      </c>
      <c r="C9358">
        <v>1500000</v>
      </c>
      <c r="D9358">
        <v>1414</v>
      </c>
    </row>
    <row r="9359" spans="1:4" x14ac:dyDescent="0.25">
      <c r="A9359" t="str">
        <f>T("   490199")</f>
        <v xml:space="preserve">   490199</v>
      </c>
      <c r="B935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359">
        <v>21896794</v>
      </c>
      <c r="D9359">
        <v>64458</v>
      </c>
    </row>
    <row r="9360" spans="1:4" x14ac:dyDescent="0.25">
      <c r="A9360" t="str">
        <f>T("   490290")</f>
        <v xml:space="preserve">   490290</v>
      </c>
      <c r="B9360"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9360">
        <v>2000000</v>
      </c>
      <c r="D9360">
        <v>64360</v>
      </c>
    </row>
    <row r="9361" spans="1:4" x14ac:dyDescent="0.25">
      <c r="A9361" t="str">
        <f>T("   490510")</f>
        <v xml:space="preserve">   490510</v>
      </c>
      <c r="B9361" t="str">
        <f>T("   Globes, imprimés (à l'excl. des globes en relief)")</f>
        <v xml:space="preserve">   Globes, imprimés (à l'excl. des globes en relief)</v>
      </c>
      <c r="C9361">
        <v>810011</v>
      </c>
      <c r="D9361">
        <v>180</v>
      </c>
    </row>
    <row r="9362" spans="1:4" x14ac:dyDescent="0.25">
      <c r="A9362" t="str">
        <f>T("   491000")</f>
        <v xml:space="preserve">   491000</v>
      </c>
      <c r="B9362" t="str">
        <f>T("   Calendriers de tous genres, imprimés, y.c. les blocs de calendriers à effeuiller")</f>
        <v xml:space="preserve">   Calendriers de tous genres, imprimés, y.c. les blocs de calendriers à effeuiller</v>
      </c>
      <c r="C9362">
        <v>3580982</v>
      </c>
      <c r="D9362">
        <v>6700</v>
      </c>
    </row>
    <row r="9363" spans="1:4" x14ac:dyDescent="0.25">
      <c r="A9363" t="str">
        <f>T("   491110")</f>
        <v xml:space="preserve">   491110</v>
      </c>
      <c r="B9363" t="str">
        <f>T("   Imprimés publicitaires, catalogues commerciaux et simil.")</f>
        <v xml:space="preserve">   Imprimés publicitaires, catalogues commerciaux et simil.</v>
      </c>
      <c r="C9363">
        <v>6699410</v>
      </c>
      <c r="D9363">
        <v>9166</v>
      </c>
    </row>
    <row r="9364" spans="1:4" x14ac:dyDescent="0.25">
      <c r="A9364" t="str">
        <f>T("   491199")</f>
        <v xml:space="preserve">   491199</v>
      </c>
      <c r="B9364" t="str">
        <f>T("   Imprimés, n.d.a.")</f>
        <v xml:space="preserve">   Imprimés, n.d.a.</v>
      </c>
      <c r="C9364">
        <v>3183965</v>
      </c>
      <c r="D9364">
        <v>7715</v>
      </c>
    </row>
    <row r="9365" spans="1:4" x14ac:dyDescent="0.25">
      <c r="A9365" t="str">
        <f>T("   520300")</f>
        <v xml:space="preserve">   520300</v>
      </c>
      <c r="B9365" t="str">
        <f>T("   Coton, cardé ou peigné")</f>
        <v xml:space="preserve">   Coton, cardé ou peigné</v>
      </c>
      <c r="C9365">
        <v>3504408</v>
      </c>
      <c r="D9365">
        <v>7260</v>
      </c>
    </row>
    <row r="9366" spans="1:4" x14ac:dyDescent="0.25">
      <c r="A9366" t="str">
        <f>T("   520419")</f>
        <v xml:space="preserve">   520419</v>
      </c>
      <c r="B9366" t="str">
        <f>T("   Fils à coudre de coton, contenant en prédominance, mais &lt; 85% en poids de coton, non conditionnés pour la vente au détail")</f>
        <v xml:space="preserve">   Fils à coudre de coton, contenant en prédominance, mais &lt; 85% en poids de coton, non conditionnés pour la vente au détail</v>
      </c>
      <c r="C9366">
        <v>147601</v>
      </c>
      <c r="D9366">
        <v>510</v>
      </c>
    </row>
    <row r="9367" spans="1:4" x14ac:dyDescent="0.25">
      <c r="A9367" t="str">
        <f>T("   520420")</f>
        <v xml:space="preserve">   520420</v>
      </c>
      <c r="B9367" t="str">
        <f>T("   Fils à coudre de coton, conditionnés pour la vente au détail")</f>
        <v xml:space="preserve">   Fils à coudre de coton, conditionnés pour la vente au détail</v>
      </c>
      <c r="C9367">
        <v>33065675</v>
      </c>
      <c r="D9367">
        <v>57460</v>
      </c>
    </row>
    <row r="9368" spans="1:4" x14ac:dyDescent="0.25">
      <c r="A9368" t="str">
        <f>T("   520821")</f>
        <v xml:space="preserve">   520821</v>
      </c>
      <c r="B9368" t="str">
        <f>T("   Tissus de coton, blanchis, à armure toile, contenant &gt;= 85% en poids de coton, d'un poids &lt;= 100 g/m²")</f>
        <v xml:space="preserve">   Tissus de coton, blanchis, à armure toile, contenant &gt;= 85% en poids de coton, d'un poids &lt;= 100 g/m²</v>
      </c>
      <c r="C9368">
        <v>74599041</v>
      </c>
      <c r="D9368">
        <v>57680</v>
      </c>
    </row>
    <row r="9369" spans="1:4" x14ac:dyDescent="0.25">
      <c r="A9369" t="str">
        <f>T("   520849")</f>
        <v xml:space="preserve">   520849</v>
      </c>
      <c r="B9369"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9369">
        <v>19250000</v>
      </c>
      <c r="D9369">
        <v>20910</v>
      </c>
    </row>
    <row r="9370" spans="1:4" x14ac:dyDescent="0.25">
      <c r="A9370" t="str">
        <f>T("   520852")</f>
        <v xml:space="preserve">   520852</v>
      </c>
      <c r="B9370" t="str">
        <f>T("   Tissus de coton, imprimés, à armure toile, contenant &gt;= 85% en poids de coton, d'un poids &gt; 100 g/m² mais &lt;= 200 g/m²")</f>
        <v xml:space="preserve">   Tissus de coton, imprimés, à armure toile, contenant &gt;= 85% en poids de coton, d'un poids &gt; 100 g/m² mais &lt;= 200 g/m²</v>
      </c>
      <c r="C9370">
        <v>1564342498</v>
      </c>
      <c r="D9370">
        <v>1049676</v>
      </c>
    </row>
    <row r="9371" spans="1:4" x14ac:dyDescent="0.25">
      <c r="A9371" t="str">
        <f>T("   520859")</f>
        <v xml:space="preserve">   520859</v>
      </c>
      <c r="B9371" t="str">
        <f>T("   TISSUS DE COTON, IMPRIMÉS, CONTENANT &gt;= 85% EN POIDS DE COTON, D'UN POIDS &lt;= 200 G/M² (À L'EXCL. DES TISSUS À ARMURE TOILE)")</f>
        <v xml:space="preserve">   TISSUS DE COTON, IMPRIMÉS, CONTENANT &gt;= 85% EN POIDS DE COTON, D'UN POIDS &lt;= 200 G/M² (À L'EXCL. DES TISSUS À ARMURE TOILE)</v>
      </c>
      <c r="C9371">
        <v>214666865</v>
      </c>
      <c r="D9371">
        <v>328580</v>
      </c>
    </row>
    <row r="9372" spans="1:4" x14ac:dyDescent="0.25">
      <c r="A9372" t="str">
        <f>T("   520929")</f>
        <v xml:space="preserve">   520929</v>
      </c>
      <c r="B9372"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9372">
        <v>139230</v>
      </c>
      <c r="D9372">
        <v>85</v>
      </c>
    </row>
    <row r="9373" spans="1:4" x14ac:dyDescent="0.25">
      <c r="A9373" t="str">
        <f>T("   520951")</f>
        <v xml:space="preserve">   520951</v>
      </c>
      <c r="B9373" t="str">
        <f>T("   Tissus de coton, imprimés, à armure toile, contenant &gt;= 85% en poids de coton, d'un poids &gt; 200 g/m²")</f>
        <v xml:space="preserve">   Tissus de coton, imprimés, à armure toile, contenant &gt;= 85% en poids de coton, d'un poids &gt; 200 g/m²</v>
      </c>
      <c r="C9373">
        <v>79520163</v>
      </c>
      <c r="D9373">
        <v>80198</v>
      </c>
    </row>
    <row r="9374" spans="1:4" x14ac:dyDescent="0.25">
      <c r="A9374" t="str">
        <f>T("   520959")</f>
        <v xml:space="preserve">   520959</v>
      </c>
      <c r="B9374" t="str">
        <f>T("   Tissus de coton, imprimés, contenant &gt;= 85% en poids de coton, d'un poids &gt; 200 g/m² (à l'excl. des tissus à armure toile ou à armure sergé [y.c. le croisé] d'un rapport d'armure &lt;= 4)")</f>
        <v xml:space="preserve">   Tissus de coton, imprimés, contenant &gt;= 85% en poids de coton, d'un poids &gt; 200 g/m² (à l'excl. des tissus à armure toile ou à armure sergé [y.c. le croisé] d'un rapport d'armure &lt;= 4)</v>
      </c>
      <c r="C9374">
        <v>207000</v>
      </c>
      <c r="D9374">
        <v>115</v>
      </c>
    </row>
    <row r="9375" spans="1:4" x14ac:dyDescent="0.25">
      <c r="A9375" t="str">
        <f>T("   521159")</f>
        <v xml:space="preserve">   521159</v>
      </c>
      <c r="B9375" t="s">
        <v>222</v>
      </c>
      <c r="C9375">
        <v>7400503</v>
      </c>
      <c r="D9375">
        <v>14005</v>
      </c>
    </row>
    <row r="9376" spans="1:4" x14ac:dyDescent="0.25">
      <c r="A9376" t="str">
        <f>T("   521211")</f>
        <v xml:space="preserve">   521211</v>
      </c>
      <c r="B9376" t="str">
        <f>T("   Tissus de coton, écrus, contenant en prédominance, mais &lt; 85% en poids de coton, autres que mélangés principalement ou uniquement avec des fibres synthétiques ou artificielles, d'un poids &lt;= 200 g/m²")</f>
        <v xml:space="preserve">   Tissus de coton, écrus, contenant en prédominance, mais &lt; 85% en poids de coton, autres que mélangés principalement ou uniquement avec des fibres synthétiques ou artificielles, d'un poids &lt;= 200 g/m²</v>
      </c>
      <c r="C9376">
        <v>1402211</v>
      </c>
      <c r="D9376">
        <v>6770</v>
      </c>
    </row>
    <row r="9377" spans="1:4" x14ac:dyDescent="0.25">
      <c r="A9377" t="str">
        <f>T("   521223")</f>
        <v xml:space="preserve">   521223</v>
      </c>
      <c r="B9377" t="str">
        <f>T("   Tissus de coton, teints, contenant en prédominance, mais &lt; 85% en poids de coton, autres que mélangés principalement ou uniquement avec des fibres synthétiques ou artificielles, d'un poids &gt; 200 g/m²")</f>
        <v xml:space="preserve">   Tissus de coton, teints, contenant en prédominance, mais &lt; 85% en poids de coton, autres que mélangés principalement ou uniquement avec des fibres synthétiques ou artificielles, d'un poids &gt; 200 g/m²</v>
      </c>
      <c r="C9377">
        <v>1267067</v>
      </c>
      <c r="D9377">
        <v>3620</v>
      </c>
    </row>
    <row r="9378" spans="1:4" x14ac:dyDescent="0.25">
      <c r="A9378" t="str">
        <f>T("   530919")</f>
        <v xml:space="preserve">   530919</v>
      </c>
      <c r="B9378" t="str">
        <f>T("   Tissus de lin, contenant &gt;= 85% en poids de lin, teints ou en fils de diverses couleurs ou imprimés")</f>
        <v xml:space="preserve">   Tissus de lin, contenant &gt;= 85% en poids de lin, teints ou en fils de diverses couleurs ou imprimés</v>
      </c>
      <c r="C9378">
        <v>4179505</v>
      </c>
      <c r="D9378">
        <v>25501</v>
      </c>
    </row>
    <row r="9379" spans="1:4" x14ac:dyDescent="0.25">
      <c r="A9379" t="str">
        <f>T("   540120")</f>
        <v xml:space="preserve">   540120</v>
      </c>
      <c r="B9379" t="str">
        <f>T("   Fils à coudre de filaments artificiels, même conditionnés pour la vente au détail")</f>
        <v xml:space="preserve">   Fils à coudre de filaments artificiels, même conditionnés pour la vente au détail</v>
      </c>
      <c r="C9379">
        <v>6800337</v>
      </c>
      <c r="D9379">
        <v>16900</v>
      </c>
    </row>
    <row r="9380" spans="1:4" x14ac:dyDescent="0.25">
      <c r="A9380" t="str">
        <f>T("   550820")</f>
        <v xml:space="preserve">   550820</v>
      </c>
      <c r="B9380" t="str">
        <f>T("   Fils à coudre de fibres artificielles discontinues, même conditionnés pour la vente au détail")</f>
        <v xml:space="preserve">   Fils à coudre de fibres artificielles discontinues, même conditionnés pour la vente au détail</v>
      </c>
      <c r="C9380">
        <v>23614</v>
      </c>
      <c r="D9380">
        <v>30</v>
      </c>
    </row>
    <row r="9381" spans="1:4" x14ac:dyDescent="0.25">
      <c r="A9381" t="str">
        <f>T("   551219")</f>
        <v xml:space="preserve">   551219</v>
      </c>
      <c r="B9381"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9381">
        <v>127648347</v>
      </c>
      <c r="D9381">
        <v>203463</v>
      </c>
    </row>
    <row r="9382" spans="1:4" x14ac:dyDescent="0.25">
      <c r="A9382" t="str">
        <f>T("   551313")</f>
        <v xml:space="preserve">   551313</v>
      </c>
      <c r="B9382" t="s">
        <v>226</v>
      </c>
      <c r="C9382">
        <v>362117160</v>
      </c>
      <c r="D9382">
        <v>517890</v>
      </c>
    </row>
    <row r="9383" spans="1:4" x14ac:dyDescent="0.25">
      <c r="A9383" t="str">
        <f>T("   551319")</f>
        <v xml:space="preserve">   551319</v>
      </c>
      <c r="B9383" t="s">
        <v>227</v>
      </c>
      <c r="C9383">
        <v>39906804</v>
      </c>
      <c r="D9383">
        <v>81922</v>
      </c>
    </row>
    <row r="9384" spans="1:4" x14ac:dyDescent="0.25">
      <c r="A9384" t="str">
        <f>T("   551321")</f>
        <v xml:space="preserve">   551321</v>
      </c>
      <c r="B9384" t="str">
        <f>T("   Tissus, teints, de fibres discontinues de polyester, contenant en prédominance, mais &lt; 85% en poids de ces fibres, mélangés principalement ou uniquement avec du coton, à armure toile, d'un poids &lt;= 170 g/m²")</f>
        <v xml:space="preserve">   Tissus, teints, de fibres discontinues de polyester, contenant en prédominance, mais &lt; 85% en poids de ces fibres, mélangés principalement ou uniquement avec du coton, à armure toile, d'un poids &lt;= 170 g/m²</v>
      </c>
      <c r="C9384">
        <v>53431898</v>
      </c>
      <c r="D9384">
        <v>113080</v>
      </c>
    </row>
    <row r="9385" spans="1:4" x14ac:dyDescent="0.25">
      <c r="A9385" t="str">
        <f>T("   551329")</f>
        <v xml:space="preserve">   551329</v>
      </c>
      <c r="B9385" t="str">
        <f>T("   Tissus, teints, de fibres synthétiques discontinues, contenant en prédominance, mais &lt; 85% en poids de ces fibres, mélangés principalement ou uniquement avec du coton, d'un poids &lt;= 170 g/m² (à l'excl. des tissus de fibres discontinues de polyester)")</f>
        <v xml:space="preserve">   Tissus, teints, de fibres synthétiques discontinues, contenant en prédominance, mais &lt; 85% en poids de ces fibres, mélangés principalement ou uniquement avec du coton, d'un poids &lt;= 170 g/m² (à l'excl. des tissus de fibres discontinues de polyester)</v>
      </c>
      <c r="C9385">
        <v>13012000</v>
      </c>
      <c r="D9385">
        <v>14300</v>
      </c>
    </row>
    <row r="9386" spans="1:4" x14ac:dyDescent="0.25">
      <c r="A9386" t="str">
        <f>T("   551439")</f>
        <v xml:space="preserve">   551439</v>
      </c>
      <c r="B9386" t="s">
        <v>229</v>
      </c>
      <c r="C9386">
        <v>7000000</v>
      </c>
      <c r="D9386">
        <v>28000</v>
      </c>
    </row>
    <row r="9387" spans="1:4" x14ac:dyDescent="0.25">
      <c r="A9387" t="str">
        <f>T("   551519")</f>
        <v xml:space="preserve">   551519</v>
      </c>
      <c r="B9387" t="s">
        <v>231</v>
      </c>
      <c r="C9387">
        <v>34964552</v>
      </c>
      <c r="D9387">
        <v>77900</v>
      </c>
    </row>
    <row r="9388" spans="1:4" x14ac:dyDescent="0.25">
      <c r="A9388" t="str">
        <f>T("   551592")</f>
        <v xml:space="preserve">   551592</v>
      </c>
      <c r="B9388" t="s">
        <v>234</v>
      </c>
      <c r="C9388">
        <v>491535</v>
      </c>
      <c r="D9388">
        <v>3960</v>
      </c>
    </row>
    <row r="9389" spans="1:4" x14ac:dyDescent="0.25">
      <c r="A9389" t="str">
        <f>T("   551599")</f>
        <v xml:space="preserve">   551599</v>
      </c>
      <c r="B9389" t="s">
        <v>235</v>
      </c>
      <c r="C9389">
        <v>51750</v>
      </c>
      <c r="D9389">
        <v>45</v>
      </c>
    </row>
    <row r="9390" spans="1:4" x14ac:dyDescent="0.25">
      <c r="A9390" t="str">
        <f>T("   560110")</f>
        <v xml:space="preserve">   560110</v>
      </c>
      <c r="B9390" t="str">
        <f>T("   Serviettes et tampons hygiéniques, couches pour bébés et articles hygiéniques simil., en ouates")</f>
        <v xml:space="preserve">   Serviettes et tampons hygiéniques, couches pour bébés et articles hygiéniques simil., en ouates</v>
      </c>
      <c r="C9390">
        <v>7076171</v>
      </c>
      <c r="D9390">
        <v>36050</v>
      </c>
    </row>
    <row r="9391" spans="1:4" x14ac:dyDescent="0.25">
      <c r="A9391" t="str">
        <f>T("   560121")</f>
        <v xml:space="preserve">   560121</v>
      </c>
      <c r="B9391" t="s">
        <v>236</v>
      </c>
      <c r="C9391">
        <v>5401034</v>
      </c>
      <c r="D9391">
        <v>5815</v>
      </c>
    </row>
    <row r="9392" spans="1:4" x14ac:dyDescent="0.25">
      <c r="A9392" t="str">
        <f>T("   560129")</f>
        <v xml:space="preserve">   560129</v>
      </c>
      <c r="B9392" t="s">
        <v>237</v>
      </c>
      <c r="C9392">
        <v>109230</v>
      </c>
      <c r="D9392">
        <v>2200</v>
      </c>
    </row>
    <row r="9393" spans="1:4" x14ac:dyDescent="0.25">
      <c r="A9393" t="str">
        <f>T("   560420")</f>
        <v xml:space="preserve">   560420</v>
      </c>
      <c r="B9393" t="str">
        <f>T("   Fils à haute ténacité de polyesters, de nylon ou d'autres polyamides ou de rayonne viscose, imprégnés ou enduits de caoutchouc ou de matière plastique")</f>
        <v xml:space="preserve">   Fils à haute ténacité de polyesters, de nylon ou d'autres polyamides ou de rayonne viscose, imprégnés ou enduits de caoutchouc ou de matière plastique</v>
      </c>
      <c r="C9393">
        <v>147601</v>
      </c>
      <c r="D9393">
        <v>800</v>
      </c>
    </row>
    <row r="9394" spans="1:4" x14ac:dyDescent="0.25">
      <c r="A9394" t="str">
        <f>T("   560749")</f>
        <v xml:space="preserve">   560749</v>
      </c>
      <c r="B9394"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9394">
        <v>240146</v>
      </c>
      <c r="D9394">
        <v>1250</v>
      </c>
    </row>
    <row r="9395" spans="1:4" x14ac:dyDescent="0.25">
      <c r="A9395" t="str">
        <f>T("   560790")</f>
        <v xml:space="preserve">   560790</v>
      </c>
      <c r="B9395" t="str">
        <f>T("   FICELLES, CORDES ET CORDAGES, TRESSÉS OU NON, MÊME IMPRÉGNÉS, ENDUITS, RECOUVERTS OU GAINÉS DE CAOUTCHOUC OU DE MATIÈRE PLASTIQUE (À L'EXCL. DES PRODUITS DE FIBRES SYNTHÉTIQUES AINSI QUE DE SISAL OU D'AUTRES FIBRES TEXTILES DU GENRE 'AGAVE')")</f>
        <v xml:space="preserve">   FICELLES, CORDES ET CORDAGES, TRESSÉS OU NON, MÊME IMPRÉGNÉS, ENDUITS, RECOUVERTS OU GAINÉS DE CAOUTCHOUC OU DE MATIÈRE PLASTIQUE (À L'EXCL. DES PRODUITS DE FIBRES SYNTHÉTIQUES AINSI QUE DE SISAL OU D'AUTRES FIBRES TEXTILES DU GENRE 'AGAVE')</v>
      </c>
      <c r="C9395">
        <v>3263602</v>
      </c>
      <c r="D9395">
        <v>10970</v>
      </c>
    </row>
    <row r="9396" spans="1:4" x14ac:dyDescent="0.25">
      <c r="A9396" t="str">
        <f>T("   560811")</f>
        <v xml:space="preserve">   560811</v>
      </c>
      <c r="B9396"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9396">
        <v>23939499</v>
      </c>
      <c r="D9396">
        <v>65094</v>
      </c>
    </row>
    <row r="9397" spans="1:4" x14ac:dyDescent="0.25">
      <c r="A9397" t="str">
        <f>T("   560819")</f>
        <v xml:space="preserve">   560819</v>
      </c>
      <c r="B9397" t="s">
        <v>239</v>
      </c>
      <c r="C9397">
        <v>2695842</v>
      </c>
      <c r="D9397">
        <v>2890</v>
      </c>
    </row>
    <row r="9398" spans="1:4" x14ac:dyDescent="0.25">
      <c r="A9398" t="str">
        <f>T("   560890")</f>
        <v xml:space="preserve">   560890</v>
      </c>
      <c r="B9398" t="s">
        <v>240</v>
      </c>
      <c r="C9398">
        <v>5198505</v>
      </c>
      <c r="D9398">
        <v>8515</v>
      </c>
    </row>
    <row r="9399" spans="1:4" x14ac:dyDescent="0.25">
      <c r="A9399" t="str">
        <f>T("   570500")</f>
        <v xml:space="preserve">   570500</v>
      </c>
      <c r="B9399"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9399">
        <v>552233</v>
      </c>
      <c r="D9399">
        <v>2585</v>
      </c>
    </row>
    <row r="9400" spans="1:4" x14ac:dyDescent="0.25">
      <c r="A9400" t="str">
        <f>T("   580790")</f>
        <v xml:space="preserve">   580790</v>
      </c>
      <c r="B9400" t="str">
        <f>T("   ÉTIQUETTES, ÉCUSSONS ET ARTICLES SIMIL. EN MATIÈRES TEXTILES, EN PIÈCES, EN RUBANS OU DÉCOUPÉS, NON-BRODÉS (À L'EXCL. DES ARTICLES TISSÉS)")</f>
        <v xml:space="preserve">   ÉTIQUETTES, ÉCUSSONS ET ARTICLES SIMIL. EN MATIÈRES TEXTILES, EN PIÈCES, EN RUBANS OU DÉCOUPÉS, NON-BRODÉS (À L'EXCL. DES ARTICLES TISSÉS)</v>
      </c>
      <c r="C9400">
        <v>60000000</v>
      </c>
      <c r="D9400">
        <v>155580</v>
      </c>
    </row>
    <row r="9401" spans="1:4" x14ac:dyDescent="0.25">
      <c r="A9401" t="str">
        <f>T("   581099")</f>
        <v xml:space="preserve">   581099</v>
      </c>
      <c r="B9401"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9401">
        <v>109147611</v>
      </c>
      <c r="D9401">
        <v>182080</v>
      </c>
    </row>
    <row r="9402" spans="1:4" x14ac:dyDescent="0.25">
      <c r="A9402" t="str">
        <f>T("   590900")</f>
        <v xml:space="preserve">   590900</v>
      </c>
      <c r="B9402" t="str">
        <f>T("   Tuyaux pour pompes et tuyaux simil., en matières textiles, même imprégnés ou enduits, même avec armatures ou accessoires en autres matières")</f>
        <v xml:space="preserve">   Tuyaux pour pompes et tuyaux simil., en matières textiles, même imprégnés ou enduits, même avec armatures ou accessoires en autres matières</v>
      </c>
      <c r="C9402">
        <v>174768</v>
      </c>
      <c r="D9402">
        <v>310</v>
      </c>
    </row>
    <row r="9403" spans="1:4" x14ac:dyDescent="0.25">
      <c r="A9403" t="str">
        <f>T("   600292")</f>
        <v xml:space="preserve">   600292</v>
      </c>
      <c r="B9403" t="str">
        <f>T("   ETOFFES DE BONNETERIE, D'UNE LARGEUR &gt; 30 CM, DE COTON (SAUF ETOFFES DE BONNETERIE-CHAÎNE, Y.C. CELLES FABRIQUEES SUR MÉTIERS A GALONNER, ET SAUF ETOFFES DE BONNETERIE A TENEUR EN FILS D'ELASTOMERES OU DE CAOUTCHOUC &gt;= 5% EN POIDS)")</f>
        <v xml:space="preserve">   ETOFFES DE BONNETERIE, D'UNE LARGEUR &gt; 30 CM, DE COTON (SAUF ETOFFES DE BONNETERIE-CHAÎNE, Y.C. CELLES FABRIQUEES SUR MÉTIERS A GALONNER, ET SAUF ETOFFES DE BONNETERIE A TENEUR EN FILS D'ELASTOMERES OU DE CAOUTCHOUC &gt;= 5% EN POIDS)</v>
      </c>
      <c r="C9403">
        <v>242250</v>
      </c>
      <c r="D9403">
        <v>190</v>
      </c>
    </row>
    <row r="9404" spans="1:4" x14ac:dyDescent="0.25">
      <c r="A9404" t="str">
        <f>T("   610190")</f>
        <v xml:space="preserve">   610190</v>
      </c>
      <c r="B9404" t="s">
        <v>253</v>
      </c>
      <c r="C9404">
        <v>5446485</v>
      </c>
      <c r="D9404">
        <v>5980</v>
      </c>
    </row>
    <row r="9405" spans="1:4" x14ac:dyDescent="0.25">
      <c r="A9405" t="str">
        <f>T("   610342")</f>
        <v xml:space="preserve">   610342</v>
      </c>
      <c r="B9405" t="str">
        <f>T("   PANTALONS, Y.C. KNICKERS ET PANTALONS SIMIL., SALOPETTES À BRETELLES, CULOTTES ET SHORTS, EN BONNETERIE, DE COTON, POUR HOMMES OU GARÇONNETS (SAUF CALETHONS ET SLIPS DE BAIN)")</f>
        <v xml:space="preserve">   PANTALONS, Y.C. KNICKERS ET PANTALONS SIMIL., SALOPETTES À BRETELLES, CULOTTES ET SHORTS, EN BONNETERIE, DE COTON, POUR HOMMES OU GARÇONNETS (SAUF CALETHONS ET SLIPS DE BAIN)</v>
      </c>
      <c r="C9405">
        <v>1000000</v>
      </c>
      <c r="D9405">
        <v>17440</v>
      </c>
    </row>
    <row r="9406" spans="1:4" x14ac:dyDescent="0.25">
      <c r="A9406" t="str">
        <f>T("   610419")</f>
        <v xml:space="preserve">   610419</v>
      </c>
      <c r="B9406" t="str">
        <f>T("   COSTUMES TAILLEURS EN BONNETERIE, DE MATIÈRES TEXTILES, POUR FEMMES OU FILLETTES (SAUF DE FIBRES SYNTHÉTIQUES ET À L'EXCL. DES COMBINAISONS DE SKI ET MAILLOTS, DES CULOTTES ET SLIPS DE BAIN)")</f>
        <v xml:space="preserve">   COSTUMES TAILLEURS EN BONNETERIE, DE MATIÈRES TEXTILES, POUR FEMMES OU FILLETTES (SAUF DE FIBRES SYNTHÉTIQUES ET À L'EXCL. DES COMBINAISONS DE SKI ET MAILLOTS, DES CULOTTES ET SLIPS DE BAIN)</v>
      </c>
      <c r="C9406">
        <v>1500000</v>
      </c>
      <c r="D9406">
        <v>1488</v>
      </c>
    </row>
    <row r="9407" spans="1:4" x14ac:dyDescent="0.25">
      <c r="A9407" t="str">
        <f>T("   610590")</f>
        <v xml:space="preserve">   610590</v>
      </c>
      <c r="B9407"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9407">
        <v>6521845</v>
      </c>
      <c r="D9407">
        <v>21200</v>
      </c>
    </row>
    <row r="9408" spans="1:4" x14ac:dyDescent="0.25">
      <c r="A9408" t="str">
        <f>T("   610690")</f>
        <v xml:space="preserve">   610690</v>
      </c>
      <c r="B9408"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9408">
        <v>2150181</v>
      </c>
      <c r="D9408">
        <v>3600</v>
      </c>
    </row>
    <row r="9409" spans="1:4" x14ac:dyDescent="0.25">
      <c r="A9409" t="str">
        <f>T("   610719")</f>
        <v xml:space="preserve">   610719</v>
      </c>
      <c r="B9409" t="str">
        <f>T("   SLIPS ET CALETHONS, EN BONNETERIE, DE MATIÈRES TEXTILES, POUR HOMMES OU GARÇONNETS (SAUF DE COTON OU FIBRES SYNTHÉTIQUES OU ARTIFICIELLES)")</f>
        <v xml:space="preserve">   SLIPS ET CALETHONS, EN BONNETERIE, DE MATIÈRES TEXTILES, POUR HOMMES OU GARÇONNETS (SAUF DE COTON OU FIBRES SYNTHÉTIQUES OU ARTIFICIELLES)</v>
      </c>
      <c r="C9409">
        <v>695164</v>
      </c>
      <c r="D9409">
        <v>570</v>
      </c>
    </row>
    <row r="9410" spans="1:4" x14ac:dyDescent="0.25">
      <c r="A9410" t="str">
        <f>T("   610829")</f>
        <v xml:space="preserve">   610829</v>
      </c>
      <c r="B9410" t="str">
        <f>T("   Slips et culottes, en bonneterie, de matières textiles, pour femmes ou fillettes (sauf de coton ou fibres synthétiques ou artificielles)")</f>
        <v xml:space="preserve">   Slips et culottes, en bonneterie, de matières textiles, pour femmes ou fillettes (sauf de coton ou fibres synthétiques ou artificielles)</v>
      </c>
      <c r="C9410">
        <v>80732552</v>
      </c>
      <c r="D9410">
        <v>136371</v>
      </c>
    </row>
    <row r="9411" spans="1:4" x14ac:dyDescent="0.25">
      <c r="A9411" t="str">
        <f>T("   610910")</f>
        <v xml:space="preserve">   610910</v>
      </c>
      <c r="B9411" t="str">
        <f>T("   T-shirts et maillots de corps, en bonneterie, de coton,")</f>
        <v xml:space="preserve">   T-shirts et maillots de corps, en bonneterie, de coton,</v>
      </c>
      <c r="C9411">
        <v>6180559</v>
      </c>
      <c r="D9411">
        <v>2810</v>
      </c>
    </row>
    <row r="9412" spans="1:4" x14ac:dyDescent="0.25">
      <c r="A9412" t="str">
        <f>T("   610990")</f>
        <v xml:space="preserve">   610990</v>
      </c>
      <c r="B9412" t="str">
        <f>T("   T-shirts et maillots de corps, en bonneterie, de matières textiles (sauf de coton)")</f>
        <v xml:space="preserve">   T-shirts et maillots de corps, en bonneterie, de matières textiles (sauf de coton)</v>
      </c>
      <c r="C9412">
        <v>636638472</v>
      </c>
      <c r="D9412">
        <v>2270015</v>
      </c>
    </row>
    <row r="9413" spans="1:4" x14ac:dyDescent="0.25">
      <c r="A9413" t="str">
        <f>T("   611090")</f>
        <v xml:space="preserve">   611090</v>
      </c>
      <c r="B9413" t="str">
        <f>T("   Chandails, pull-overs, cardigans, gilets et articles simil., y.c. les sous-pulls, en bonneterie, de matières textiles (sauf de laine, poils fins, coton, fibres synthétiques ou artificielles et sauf gilets ouatinés)")</f>
        <v xml:space="preserve">   Chandails, pull-overs, cardigans, gilets et articles simil., y.c. les sous-pulls, en bonneterie, de matières textiles (sauf de laine, poils fins, coton, fibres synthétiques ou artificielles et sauf gilets ouatinés)</v>
      </c>
      <c r="C9413">
        <v>4488566</v>
      </c>
      <c r="D9413">
        <v>9194</v>
      </c>
    </row>
    <row r="9414" spans="1:4" x14ac:dyDescent="0.25">
      <c r="A9414" t="str">
        <f>T("   611120")</f>
        <v xml:space="preserve">   611120</v>
      </c>
      <c r="B9414" t="str">
        <f>T("   Vêtements et accessoires du vêtement, en bonneterie, de coton, pour bébés (sauf gants et bonnets)")</f>
        <v xml:space="preserve">   Vêtements et accessoires du vêtement, en bonneterie, de coton, pour bébés (sauf gants et bonnets)</v>
      </c>
      <c r="C9414">
        <v>919900</v>
      </c>
      <c r="D9414">
        <v>3170</v>
      </c>
    </row>
    <row r="9415" spans="1:4" x14ac:dyDescent="0.25">
      <c r="A9415" t="str">
        <f>T("   611190")</f>
        <v xml:space="preserve">   611190</v>
      </c>
      <c r="B9415"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9415">
        <v>169057360</v>
      </c>
      <c r="D9415">
        <v>390800</v>
      </c>
    </row>
    <row r="9416" spans="1:4" x14ac:dyDescent="0.25">
      <c r="A9416" t="str">
        <f>T("   611490")</f>
        <v xml:space="preserve">   611490</v>
      </c>
      <c r="B9416"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9416">
        <v>24931123</v>
      </c>
      <c r="D9416">
        <v>76343</v>
      </c>
    </row>
    <row r="9417" spans="1:4" x14ac:dyDescent="0.25">
      <c r="A9417" t="str">
        <f>T("   611599")</f>
        <v xml:space="preserve">   611599</v>
      </c>
      <c r="B9417" t="s">
        <v>257</v>
      </c>
      <c r="C9417">
        <v>7258000</v>
      </c>
      <c r="D9417">
        <v>14000</v>
      </c>
    </row>
    <row r="9418" spans="1:4" x14ac:dyDescent="0.25">
      <c r="A9418" t="str">
        <f>T("   611710")</f>
        <v xml:space="preserve">   611710</v>
      </c>
      <c r="B9418" t="str">
        <f>T("   Châles, écharpes, foulards, cache-nez, cache-col, mantilles, voiles, voilettes et articles simil., en bonneterie")</f>
        <v xml:space="preserve">   Châles, écharpes, foulards, cache-nez, cache-col, mantilles, voiles, voilettes et articles simil., en bonneterie</v>
      </c>
      <c r="C9418">
        <v>1331234</v>
      </c>
      <c r="D9418">
        <v>2204</v>
      </c>
    </row>
    <row r="9419" spans="1:4" x14ac:dyDescent="0.25">
      <c r="A9419" t="str">
        <f>T("   620111")</f>
        <v xml:space="preserve">   620111</v>
      </c>
      <c r="B9419" t="str">
        <f>T("   Manteaux, imperméables, cabans, capes et articles simil., de laine ou poils fins, pour hommes ou garçonnets (à l'excl. des articles en bonneterie)")</f>
        <v xml:space="preserve">   Manteaux, imperméables, cabans, capes et articles simil., de laine ou poils fins, pour hommes ou garçonnets (à l'excl. des articles en bonneterie)</v>
      </c>
      <c r="C9419">
        <v>218460</v>
      </c>
      <c r="D9419">
        <v>2000</v>
      </c>
    </row>
    <row r="9420" spans="1:4" x14ac:dyDescent="0.25">
      <c r="A9420" t="str">
        <f>T("   620199")</f>
        <v xml:space="preserve">   620199</v>
      </c>
      <c r="B9420" t="s">
        <v>258</v>
      </c>
      <c r="C9420">
        <v>170235</v>
      </c>
      <c r="D9420">
        <v>40</v>
      </c>
    </row>
    <row r="9421" spans="1:4" x14ac:dyDescent="0.25">
      <c r="A9421" t="str">
        <f>T("   620299")</f>
        <v xml:space="preserve">   620299</v>
      </c>
      <c r="B9421" t="s">
        <v>259</v>
      </c>
      <c r="C9421">
        <v>4500000</v>
      </c>
      <c r="D9421">
        <v>19640</v>
      </c>
    </row>
    <row r="9422" spans="1:4" x14ac:dyDescent="0.25">
      <c r="A9422" t="str">
        <f>T("   620319")</f>
        <v xml:space="preserve">   620319</v>
      </c>
      <c r="B9422" t="s">
        <v>260</v>
      </c>
      <c r="C9422">
        <v>43692</v>
      </c>
      <c r="D9422">
        <v>24</v>
      </c>
    </row>
    <row r="9423" spans="1:4" x14ac:dyDescent="0.25">
      <c r="A9423" t="str">
        <f>T("   620342")</f>
        <v xml:space="preserve">   620342</v>
      </c>
      <c r="B9423"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9423">
        <v>7258318</v>
      </c>
      <c r="D9423">
        <v>16000</v>
      </c>
    </row>
    <row r="9424" spans="1:4" x14ac:dyDescent="0.25">
      <c r="A9424" t="str">
        <f>T("   620343")</f>
        <v xml:space="preserve">   620343</v>
      </c>
      <c r="B9424" t="str">
        <f>T("   Pantalons, y.c. knickers et pantalons simil., salopettes à bretelles, culottes et shorts, de fibres synthétiques, pour hommes ou garçonnets (autres qu'en bonneterie et sauf slips et caleçons et maillots, culottes et slips de bain)")</f>
        <v xml:space="preserve">   Pantalons, y.c. knickers et pantalons simil., salopettes à bretelles, culottes et shorts, de fibres synthétiques, pour hommes ou garçonnets (autres qu'en bonneterie et sauf slips et caleçons et maillots, culottes et slips de bain)</v>
      </c>
      <c r="C9424">
        <v>1435367</v>
      </c>
      <c r="D9424">
        <v>7800</v>
      </c>
    </row>
    <row r="9425" spans="1:4" x14ac:dyDescent="0.25">
      <c r="A9425" t="str">
        <f>T("   620349")</f>
        <v xml:space="preserve">   620349</v>
      </c>
      <c r="B9425" t="s">
        <v>261</v>
      </c>
      <c r="C9425">
        <v>37815534</v>
      </c>
      <c r="D9425">
        <v>87550</v>
      </c>
    </row>
    <row r="9426" spans="1:4" x14ac:dyDescent="0.25">
      <c r="A9426" t="str">
        <f>T("   620590")</f>
        <v xml:space="preserve">   620590</v>
      </c>
      <c r="B942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426">
        <v>36887377</v>
      </c>
      <c r="D9426">
        <v>140460</v>
      </c>
    </row>
    <row r="9427" spans="1:4" x14ac:dyDescent="0.25">
      <c r="A9427" t="str">
        <f>T("   620819")</f>
        <v xml:space="preserve">   620819</v>
      </c>
      <c r="B9427" t="str">
        <f>T("   Combinaisons ou fonds de robes et jupons, de matières textiles, pour femmes ou fillettes (autres que de fibres synthétiques ou artificielles, autres qu'en bonneterie et sauf gilets de corps et chemises de jour)")</f>
        <v xml:space="preserve">   Combinaisons ou fonds de robes et jupons, de matières textiles, pour femmes ou fillettes (autres que de fibres synthétiques ou artificielles, autres qu'en bonneterie et sauf gilets de corps et chemises de jour)</v>
      </c>
      <c r="C9427">
        <v>681800</v>
      </c>
      <c r="D9427">
        <v>4300</v>
      </c>
    </row>
    <row r="9428" spans="1:4" x14ac:dyDescent="0.25">
      <c r="A9428" t="str">
        <f>T("   620829")</f>
        <v xml:space="preserve">   620829</v>
      </c>
      <c r="B9428" t="str">
        <f>T("   Chemises de nuit et pyjamas, de matières textiles, pour femmes ou fillettes (autres que de coton, fibres synthétiques ou artificielles, autres qu'en bonneterie et sauf gilets de corps, chemises de jour et déshabillés)")</f>
        <v xml:space="preserve">   Chemises de nuit et pyjamas, de matières textiles, pour femmes ou fillettes (autres que de coton, fibres synthétiques ou artificielles, autres qu'en bonneterie et sauf gilets de corps, chemises de jour et déshabillés)</v>
      </c>
      <c r="C9428">
        <v>2892947</v>
      </c>
      <c r="D9428">
        <v>5584</v>
      </c>
    </row>
    <row r="9429" spans="1:4" x14ac:dyDescent="0.25">
      <c r="A9429" t="str">
        <f>T("   620990")</f>
        <v xml:space="preserve">   620990</v>
      </c>
      <c r="B9429"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9429">
        <v>7650000</v>
      </c>
      <c r="D9429">
        <v>55000</v>
      </c>
    </row>
    <row r="9430" spans="1:4" x14ac:dyDescent="0.25">
      <c r="A9430" t="str">
        <f>T("   621040")</f>
        <v xml:space="preserve">   621040</v>
      </c>
      <c r="B9430" t="s">
        <v>265</v>
      </c>
      <c r="C9430">
        <v>74039</v>
      </c>
      <c r="D9430">
        <v>708</v>
      </c>
    </row>
    <row r="9431" spans="1:4" x14ac:dyDescent="0.25">
      <c r="A9431" t="str">
        <f>T("   621050")</f>
        <v xml:space="preserve">   621050</v>
      </c>
      <c r="B9431" t="s">
        <v>266</v>
      </c>
      <c r="C9431">
        <v>3979665</v>
      </c>
      <c r="D9431">
        <v>14770</v>
      </c>
    </row>
    <row r="9432" spans="1:4" x14ac:dyDescent="0.25">
      <c r="A9432" t="str">
        <f>T("   621210")</f>
        <v xml:space="preserve">   621210</v>
      </c>
      <c r="B9432" t="str">
        <f>T("   Soutiens-gorge et bustiers en tous types de matières textiles, même élastiques et même en bonneterie")</f>
        <v xml:space="preserve">   Soutiens-gorge et bustiers en tous types de matières textiles, même élastiques et même en bonneterie</v>
      </c>
      <c r="C9432">
        <v>2392490</v>
      </c>
      <c r="D9432">
        <v>10214</v>
      </c>
    </row>
    <row r="9433" spans="1:4" x14ac:dyDescent="0.25">
      <c r="A9433" t="str">
        <f>T("   621490")</f>
        <v xml:space="preserve">   621490</v>
      </c>
      <c r="B9433"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9433">
        <v>5500000</v>
      </c>
      <c r="D9433">
        <v>25776</v>
      </c>
    </row>
    <row r="9434" spans="1:4" x14ac:dyDescent="0.25">
      <c r="A9434" t="str">
        <f>T("   621590")</f>
        <v xml:space="preserve">   621590</v>
      </c>
      <c r="B9434" t="str">
        <f>T("   Cravates, noeuds papillons et foulards cravates, de matières textiles (autres que fibres synthétiques ou artificielles, soie et déchets de soie et autres qu'en bonneterie)")</f>
        <v xml:space="preserve">   Cravates, noeuds papillons et foulards cravates, de matières textiles (autres que fibres synthétiques ou artificielles, soie et déchets de soie et autres qu'en bonneterie)</v>
      </c>
      <c r="C9434">
        <v>210136</v>
      </c>
      <c r="D9434">
        <v>800</v>
      </c>
    </row>
    <row r="9435" spans="1:4" x14ac:dyDescent="0.25">
      <c r="A9435" t="str">
        <f>T("   621710")</f>
        <v xml:space="preserve">   621710</v>
      </c>
      <c r="B9435" t="str">
        <f>T("   Accessoires confectionnés du vêtement en tous types de matières textiles, n.d.a. (autres qu'en bonneterie)")</f>
        <v xml:space="preserve">   Accessoires confectionnés du vêtement en tous types de matières textiles, n.d.a. (autres qu'en bonneterie)</v>
      </c>
      <c r="C9435">
        <v>5720691</v>
      </c>
      <c r="D9435">
        <v>19094</v>
      </c>
    </row>
    <row r="9436" spans="1:4" x14ac:dyDescent="0.25">
      <c r="A9436" t="str">
        <f>T("   630221")</f>
        <v xml:space="preserve">   630221</v>
      </c>
      <c r="B9436" t="str">
        <f>T("   Linge de lit de coton, imprimé (autre qu'en bonneterie)")</f>
        <v xml:space="preserve">   Linge de lit de coton, imprimé (autre qu'en bonneterie)</v>
      </c>
      <c r="C9436">
        <v>13217563</v>
      </c>
      <c r="D9436">
        <v>13284</v>
      </c>
    </row>
    <row r="9437" spans="1:4" x14ac:dyDescent="0.25">
      <c r="A9437" t="str">
        <f>T("   630229")</f>
        <v xml:space="preserve">   630229</v>
      </c>
      <c r="B9437"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9437">
        <v>9698867</v>
      </c>
      <c r="D9437">
        <v>26320</v>
      </c>
    </row>
    <row r="9438" spans="1:4" x14ac:dyDescent="0.25">
      <c r="A9438" t="str">
        <f>T("   630231")</f>
        <v xml:space="preserve">   630231</v>
      </c>
      <c r="B9438" t="str">
        <f>T("   Linge de lit de coton (autre qu'imprimé, autre qu'en bonneterie)")</f>
        <v xml:space="preserve">   Linge de lit de coton (autre qu'imprimé, autre qu'en bonneterie)</v>
      </c>
      <c r="C9438">
        <v>218460</v>
      </c>
      <c r="D9438">
        <v>280</v>
      </c>
    </row>
    <row r="9439" spans="1:4" x14ac:dyDescent="0.25">
      <c r="A9439" t="str">
        <f>T("   630293")</f>
        <v xml:space="preserve">   630293</v>
      </c>
      <c r="B9439" t="str">
        <f>T("   Linge de toilette ou de cuisine, de fibres synthétiques ou artificielles (sauf serpillières, chiffons à parquet, lavettes et chamoisettes)")</f>
        <v xml:space="preserve">   Linge de toilette ou de cuisine, de fibres synthétiques ou artificielles (sauf serpillières, chiffons à parquet, lavettes et chamoisettes)</v>
      </c>
      <c r="C9439">
        <v>242491</v>
      </c>
      <c r="D9439">
        <v>305</v>
      </c>
    </row>
    <row r="9440" spans="1:4" x14ac:dyDescent="0.25">
      <c r="A9440" t="str">
        <f>T("   630392")</f>
        <v xml:space="preserve">   630392</v>
      </c>
      <c r="B9440" t="str">
        <f>T("   Vitrages, rideaux et stores d'intérieur ainsi que cantonnières et tours de lit, de fibres synthétiques (autres qu'en bonneterie et autres que stores d'extérieur)")</f>
        <v xml:space="preserve">   Vitrages, rideaux et stores d'intérieur ainsi que cantonnières et tours de lit, de fibres synthétiques (autres qu'en bonneterie et autres que stores d'extérieur)</v>
      </c>
      <c r="C9440">
        <v>163831</v>
      </c>
      <c r="D9440">
        <v>1030</v>
      </c>
    </row>
    <row r="9441" spans="1:4" x14ac:dyDescent="0.25">
      <c r="A9441" t="str">
        <f>T("   630399")</f>
        <v xml:space="preserve">   630399</v>
      </c>
      <c r="B9441"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9441">
        <v>40075</v>
      </c>
      <c r="D9441">
        <v>323</v>
      </c>
    </row>
    <row r="9442" spans="1:4" x14ac:dyDescent="0.25">
      <c r="A9442" t="str">
        <f>T("   630491")</f>
        <v xml:space="preserve">   630491</v>
      </c>
      <c r="B9442" t="s">
        <v>269</v>
      </c>
      <c r="C9442">
        <v>4080000</v>
      </c>
      <c r="D9442">
        <v>25060</v>
      </c>
    </row>
    <row r="9443" spans="1:4" x14ac:dyDescent="0.25">
      <c r="A9443" t="str">
        <f>T("   630510")</f>
        <v xml:space="preserve">   630510</v>
      </c>
      <c r="B9443" t="str">
        <f>T("   Sacs et sachets d'emballage de jute ou d'autres fibres textiles libériennes du n° 5303")</f>
        <v xml:space="preserve">   Sacs et sachets d'emballage de jute ou d'autres fibres textiles libériennes du n° 5303</v>
      </c>
      <c r="C9443">
        <v>15572844</v>
      </c>
      <c r="D9443">
        <v>218365</v>
      </c>
    </row>
    <row r="9444" spans="1:4" x14ac:dyDescent="0.25">
      <c r="A9444" t="str">
        <f>T("   630533")</f>
        <v xml:space="preserve">   630533</v>
      </c>
      <c r="B9444"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9444">
        <v>57360535</v>
      </c>
      <c r="D9444">
        <v>46503</v>
      </c>
    </row>
    <row r="9445" spans="1:4" x14ac:dyDescent="0.25">
      <c r="A9445" t="str">
        <f>T("   630539")</f>
        <v xml:space="preserve">   630539</v>
      </c>
      <c r="B9445"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9445">
        <v>15546150</v>
      </c>
      <c r="D9445">
        <v>40000</v>
      </c>
    </row>
    <row r="9446" spans="1:4" x14ac:dyDescent="0.25">
      <c r="A9446" t="str">
        <f>T("   630590")</f>
        <v xml:space="preserve">   630590</v>
      </c>
      <c r="B9446"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9446">
        <v>131076</v>
      </c>
      <c r="D9446">
        <v>120</v>
      </c>
    </row>
    <row r="9447" spans="1:4" x14ac:dyDescent="0.25">
      <c r="A9447" t="str">
        <f>T("   630710")</f>
        <v xml:space="preserve">   630710</v>
      </c>
      <c r="B9447" t="str">
        <f>T("   Serpillières ou wassingues, lavettes, chamoisettes et articles d'entretien simil. en tous types de matières textiles")</f>
        <v xml:space="preserve">   Serpillières ou wassingues, lavettes, chamoisettes et articles d'entretien simil. en tous types de matières textiles</v>
      </c>
      <c r="C9447">
        <v>21846</v>
      </c>
      <c r="D9447">
        <v>125</v>
      </c>
    </row>
    <row r="9448" spans="1:4" x14ac:dyDescent="0.25">
      <c r="A9448" t="str">
        <f>T("   630790")</f>
        <v xml:space="preserve">   630790</v>
      </c>
      <c r="B9448" t="str">
        <f>T("   Articles de matières textiles, confectionnés, y.c. les patrons de vêtements n.d.a.")</f>
        <v xml:space="preserve">   Articles de matières textiles, confectionnés, y.c. les patrons de vêtements n.d.a.</v>
      </c>
      <c r="C9448">
        <v>327690</v>
      </c>
      <c r="D9448">
        <v>2020</v>
      </c>
    </row>
    <row r="9449" spans="1:4" x14ac:dyDescent="0.25">
      <c r="A9449" t="str">
        <f>T("   630900")</f>
        <v xml:space="preserve">   630900</v>
      </c>
      <c r="B9449" t="s">
        <v>273</v>
      </c>
      <c r="C9449">
        <v>811976963</v>
      </c>
      <c r="D9449">
        <v>2491583</v>
      </c>
    </row>
    <row r="9450" spans="1:4" x14ac:dyDescent="0.25">
      <c r="A9450" t="str">
        <f>T("   640199")</f>
        <v xml:space="preserve">   640199</v>
      </c>
      <c r="B9450" t="s">
        <v>274</v>
      </c>
      <c r="C9450">
        <v>509991</v>
      </c>
      <c r="D9450">
        <v>6970</v>
      </c>
    </row>
    <row r="9451" spans="1:4" x14ac:dyDescent="0.25">
      <c r="A9451" t="str">
        <f>T("   640212")</f>
        <v xml:space="preserve">   640212</v>
      </c>
      <c r="B9451" t="str">
        <f>T("   Chaussures de ski et chaussures pour le surf des neiges, à semelles extérieures et dessus en caoutchouc ou en matière plastique (sauf chaussures étanches du n° 6401)")</f>
        <v xml:space="preserve">   Chaussures de ski et chaussures pour le surf des neiges, à semelles extérieures et dessus en caoutchouc ou en matière plastique (sauf chaussures étanches du n° 6401)</v>
      </c>
      <c r="C9451">
        <v>108050</v>
      </c>
      <c r="D9451">
        <v>620</v>
      </c>
    </row>
    <row r="9452" spans="1:4" x14ac:dyDescent="0.25">
      <c r="A9452" t="str">
        <f>T("   640219")</f>
        <v xml:space="preserve">   640219</v>
      </c>
      <c r="B9452" t="s">
        <v>276</v>
      </c>
      <c r="C9452">
        <v>216099</v>
      </c>
      <c r="D9452">
        <v>350</v>
      </c>
    </row>
    <row r="9453" spans="1:4" x14ac:dyDescent="0.25">
      <c r="A9453" t="str">
        <f>T("   640220")</f>
        <v xml:space="preserve">   640220</v>
      </c>
      <c r="B9453"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9453">
        <v>137834739</v>
      </c>
      <c r="D9453">
        <v>503463</v>
      </c>
    </row>
    <row r="9454" spans="1:4" x14ac:dyDescent="0.25">
      <c r="A9454" t="str">
        <f>T("   640291")</f>
        <v xml:space="preserve">   640291</v>
      </c>
      <c r="B9454" t="str">
        <f>T("   CHAUSSURES À SEMELLES EXTÉRIEURES ET DESSUS EN CAOUTCHOUC OU EN MATIÈRES PLASTIQUES, COUVRANT LA CHEVILLE (SAUF CHAUSSURES ÉTANCHES DU N° 6401, CHAUSSURES D'ORTHOPÉDIE ET DE SPORT ET CHAUSSURES AYANT LE CARACTÈRE DE JOUETS)")</f>
        <v xml:space="preserve">   CHAUSSURES À SEMELLES EXTÉRIEURES ET DESSUS EN CAOUTCHOUC OU EN MATIÈRES PLASTIQUES, COUVRANT LA CHEVILLE (SAUF CHAUSSURES ÉTANCHES DU N° 6401, CHAUSSURES D'ORTHOPÉDIE ET DE SPORT ET CHAUSSURES AYANT LE CARACTÈRE DE JOUETS)</v>
      </c>
      <c r="C9454">
        <v>338903</v>
      </c>
      <c r="D9454">
        <v>2920</v>
      </c>
    </row>
    <row r="9455" spans="1:4" x14ac:dyDescent="0.25">
      <c r="A9455" t="str">
        <f>T("   640299")</f>
        <v xml:space="preserve">   640299</v>
      </c>
      <c r="B9455" t="s">
        <v>278</v>
      </c>
      <c r="C9455">
        <v>206002437</v>
      </c>
      <c r="D9455">
        <v>730923</v>
      </c>
    </row>
    <row r="9456" spans="1:4" x14ac:dyDescent="0.25">
      <c r="A9456" t="str">
        <f>T("   640319")</f>
        <v xml:space="preserve">   640319</v>
      </c>
      <c r="B9456" t="s">
        <v>279</v>
      </c>
      <c r="C9456">
        <v>86690132</v>
      </c>
      <c r="D9456">
        <v>279754</v>
      </c>
    </row>
    <row r="9457" spans="1:4" x14ac:dyDescent="0.25">
      <c r="A9457" t="str">
        <f>T("   640320")</f>
        <v xml:space="preserve">   640320</v>
      </c>
      <c r="B9457" t="str">
        <f>T("   Chaussures à semelles extérieures en cuir naturel et dessus constitués de lanières en cuir naturel passant sur le cou-de-pied et entourant le gros orteil")</f>
        <v xml:space="preserve">   Chaussures à semelles extérieures en cuir naturel et dessus constitués de lanières en cuir naturel passant sur le cou-de-pied et entourant le gros orteil</v>
      </c>
      <c r="C9457">
        <v>9000</v>
      </c>
      <c r="D9457">
        <v>22</v>
      </c>
    </row>
    <row r="9458" spans="1:4" x14ac:dyDescent="0.25">
      <c r="A9458" t="str">
        <f>T("   640419")</f>
        <v xml:space="preserve">   640419</v>
      </c>
      <c r="B9458" t="s">
        <v>282</v>
      </c>
      <c r="C9458">
        <v>35250000</v>
      </c>
      <c r="D9458">
        <v>153999</v>
      </c>
    </row>
    <row r="9459" spans="1:4" x14ac:dyDescent="0.25">
      <c r="A9459" t="str">
        <f>T("   640420")</f>
        <v xml:space="preserve">   640420</v>
      </c>
      <c r="B9459" t="str">
        <f>T("   Chaussures à semelles extérieures en cuir naturel ou reconstitué, à dessus en matières textiles (sauf chaussures ayant le caractère de jouets)")</f>
        <v xml:space="preserve">   Chaussures à semelles extérieures en cuir naturel ou reconstitué, à dessus en matières textiles (sauf chaussures ayant le caractère de jouets)</v>
      </c>
      <c r="C9459">
        <v>108049</v>
      </c>
      <c r="D9459">
        <v>800</v>
      </c>
    </row>
    <row r="9460" spans="1:4" x14ac:dyDescent="0.25">
      <c r="A9460" t="str">
        <f>T("   640520")</f>
        <v xml:space="preserve">   640520</v>
      </c>
      <c r="B9460" t="str">
        <f>T("   Chaussures à dessus en matières textiles (sauf à semelles extérieures en caoutchouc, matière plastique, cuir naturel ou reconstitué et sauf chaussures d'orthopédie et chaussures ayant le caractère de jouets)")</f>
        <v xml:space="preserve">   Chaussures à dessus en matières textiles (sauf à semelles extérieures en caoutchouc, matière plastique, cuir naturel ou reconstitué et sauf chaussures d'orthopédie et chaussures ayant le caractère de jouets)</v>
      </c>
      <c r="C9460">
        <v>324149</v>
      </c>
      <c r="D9460">
        <v>575</v>
      </c>
    </row>
    <row r="9461" spans="1:4" x14ac:dyDescent="0.25">
      <c r="A9461" t="str">
        <f>T("   640590")</f>
        <v xml:space="preserve">   640590</v>
      </c>
      <c r="B9461" t="s">
        <v>283</v>
      </c>
      <c r="C9461">
        <v>499299450</v>
      </c>
      <c r="D9461">
        <v>2226283</v>
      </c>
    </row>
    <row r="9462" spans="1:4" x14ac:dyDescent="0.25">
      <c r="A9462" t="str">
        <f>T("   650510")</f>
        <v xml:space="preserve">   650510</v>
      </c>
      <c r="B9462" t="str">
        <f>T("   Résilles et filets à cheveux en toutes matières, même garnis")</f>
        <v xml:space="preserve">   Résilles et filets à cheveux en toutes matières, même garnis</v>
      </c>
      <c r="C9462">
        <v>47699</v>
      </c>
      <c r="D9462">
        <v>155</v>
      </c>
    </row>
    <row r="9463" spans="1:4" x14ac:dyDescent="0.25">
      <c r="A9463" t="str">
        <f>T("   650590")</f>
        <v xml:space="preserve">   650590</v>
      </c>
      <c r="B9463" t="s">
        <v>284</v>
      </c>
      <c r="C9463">
        <v>756348</v>
      </c>
      <c r="D9463">
        <v>2180</v>
      </c>
    </row>
    <row r="9464" spans="1:4" x14ac:dyDescent="0.25">
      <c r="A9464" t="str">
        <f>T("   650610")</f>
        <v xml:space="preserve">   650610</v>
      </c>
      <c r="B9464" t="str">
        <f>T("   Coiffures de sécurité, même garnies")</f>
        <v xml:space="preserve">   Coiffures de sécurité, même garnies</v>
      </c>
      <c r="C9464">
        <v>238872</v>
      </c>
      <c r="D9464">
        <v>1600</v>
      </c>
    </row>
    <row r="9465" spans="1:4" x14ac:dyDescent="0.25">
      <c r="A9465" t="str">
        <f>T("   650691")</f>
        <v xml:space="preserve">   650691</v>
      </c>
      <c r="B9465" t="s">
        <v>285</v>
      </c>
      <c r="C9465">
        <v>500000</v>
      </c>
      <c r="D9465">
        <v>300</v>
      </c>
    </row>
    <row r="9466" spans="1:4" x14ac:dyDescent="0.25">
      <c r="A9466" t="str">
        <f>T("   650699")</f>
        <v xml:space="preserve">   650699</v>
      </c>
      <c r="B9466" t="str">
        <f>T("   Chapeaux et autres coiffures, même garnis, n.d.a.")</f>
        <v xml:space="preserve">   Chapeaux et autres coiffures, même garnis, n.d.a.</v>
      </c>
      <c r="C9466">
        <v>86730</v>
      </c>
      <c r="D9466">
        <v>180</v>
      </c>
    </row>
    <row r="9467" spans="1:4" x14ac:dyDescent="0.25">
      <c r="A9467" t="str">
        <f>T("   660320")</f>
        <v xml:space="preserve">   660320</v>
      </c>
      <c r="B9467" t="str">
        <f>T("   Montures assemblées, même avec mâts ou manches, reconnaissables comme étant destinées aux parapluies, ombrelles ou parasols du n° 6601")</f>
        <v xml:space="preserve">   Montures assemblées, même avec mâts ou manches, reconnaissables comme étant destinées aux parapluies, ombrelles ou parasols du n° 6601</v>
      </c>
      <c r="C9467">
        <v>439070</v>
      </c>
      <c r="D9467">
        <v>504</v>
      </c>
    </row>
    <row r="9468" spans="1:4" x14ac:dyDescent="0.25">
      <c r="A9468" t="str">
        <f>T("   670290")</f>
        <v xml:space="preserve">   670290</v>
      </c>
      <c r="B9468"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9468">
        <v>148136</v>
      </c>
      <c r="D9468">
        <v>1520</v>
      </c>
    </row>
    <row r="9469" spans="1:4" x14ac:dyDescent="0.25">
      <c r="A9469" t="str">
        <f>T("   670419")</f>
        <v xml:space="preserve">   670419</v>
      </c>
      <c r="B9469" t="str">
        <f>T("   Barbes, sourcils, cils, mèches et articles simil., en matières textiles synthétiques (sauf perruques complètes)")</f>
        <v xml:space="preserve">   Barbes, sourcils, cils, mèches et articles simil., en matières textiles synthétiques (sauf perruques complètes)</v>
      </c>
      <c r="C9469">
        <v>250577</v>
      </c>
      <c r="D9469">
        <v>25</v>
      </c>
    </row>
    <row r="9470" spans="1:4" x14ac:dyDescent="0.25">
      <c r="A9470" t="str">
        <f>T("   670420")</f>
        <v xml:space="preserve">   670420</v>
      </c>
      <c r="B9470" t="str">
        <f>T("   Perruques, barbes, sourcils, cils, mèches et articles simil., en cheveux; ouvrages en cheveux n.d.a.")</f>
        <v xml:space="preserve">   Perruques, barbes, sourcils, cils, mèches et articles simil., en cheveux; ouvrages en cheveux n.d.a.</v>
      </c>
      <c r="C9470">
        <v>40206545</v>
      </c>
      <c r="D9470">
        <v>132250</v>
      </c>
    </row>
    <row r="9471" spans="1:4" x14ac:dyDescent="0.25">
      <c r="A9471" t="str">
        <f>T("   670490")</f>
        <v xml:space="preserve">   670490</v>
      </c>
      <c r="B9471" t="str">
        <f>T("   Perruques, barbes, sourcils, cils, mèches et articles simil., en poils ou matières textiles (sauf matières textiles synthétiques)")</f>
        <v xml:space="preserve">   Perruques, barbes, sourcils, cils, mèches et articles simil., en poils ou matières textiles (sauf matières textiles synthétiques)</v>
      </c>
      <c r="C9471">
        <v>12000000</v>
      </c>
      <c r="D9471">
        <v>69834</v>
      </c>
    </row>
    <row r="9472" spans="1:4" x14ac:dyDescent="0.25">
      <c r="A9472" t="str">
        <f>T("   680210")</f>
        <v xml:space="preserve">   680210</v>
      </c>
      <c r="B9472" t="s">
        <v>286</v>
      </c>
      <c r="C9472">
        <v>3936920</v>
      </c>
      <c r="D9472">
        <v>15771</v>
      </c>
    </row>
    <row r="9473" spans="1:4" x14ac:dyDescent="0.25">
      <c r="A9473" t="str">
        <f>T("   680520")</f>
        <v xml:space="preserve">   680520</v>
      </c>
      <c r="B9473"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9473">
        <v>500000</v>
      </c>
      <c r="D9473">
        <v>6000</v>
      </c>
    </row>
    <row r="9474" spans="1:4" x14ac:dyDescent="0.25">
      <c r="A9474" t="str">
        <f>T("   681099")</f>
        <v xml:space="preserve">   681099</v>
      </c>
      <c r="B9474" t="str">
        <f>T("   Ouvrages en ciment, en béton ou en pierres artificielles, même armés (sauf éléments préfabriqués pour le bâtiment ou le génie civil; tuiles, carreaux, dalles, briques et articles simil.)")</f>
        <v xml:space="preserve">   Ouvrages en ciment, en béton ou en pierres artificielles, même armés (sauf éléments préfabriqués pour le bâtiment ou le génie civil; tuiles, carreaux, dalles, briques et articles simil.)</v>
      </c>
      <c r="C9474">
        <v>3145328</v>
      </c>
      <c r="D9474">
        <v>41180</v>
      </c>
    </row>
    <row r="9475" spans="1:4" x14ac:dyDescent="0.25">
      <c r="A9475" t="str">
        <f>T("   681120")</f>
        <v xml:space="preserve">   681120</v>
      </c>
      <c r="B9475" t="str">
        <f>T("   Plaques, panneaux, carreaux, tuiles et articles simil., en amiante-ciment, cellulose-ciment ou simil. (sauf plaques ondulées)")</f>
        <v xml:space="preserve">   Plaques, panneaux, carreaux, tuiles et articles simil., en amiante-ciment, cellulose-ciment ou simil. (sauf plaques ondulées)</v>
      </c>
      <c r="C9475">
        <v>140000</v>
      </c>
      <c r="D9475">
        <v>870</v>
      </c>
    </row>
    <row r="9476" spans="1:4" x14ac:dyDescent="0.25">
      <c r="A9476" t="str">
        <f>T("   690100")</f>
        <v xml:space="preserve">   690100</v>
      </c>
      <c r="B9476" t="str">
        <f>T("   Briques, dalles, carreaux et autres pièces céramiques, en farines siliceuses fossiles [p.ex. kieselguhr, tripolite, diatomite], ou en terres siliceuses analogues")</f>
        <v xml:space="preserve">   Briques, dalles, carreaux et autres pièces céramiques, en farines siliceuses fossiles [p.ex. kieselguhr, tripolite, diatomite], ou en terres siliceuses analogues</v>
      </c>
      <c r="C9476">
        <v>21846</v>
      </c>
      <c r="D9476">
        <v>300</v>
      </c>
    </row>
    <row r="9477" spans="1:4" x14ac:dyDescent="0.25">
      <c r="A9477" t="str">
        <f>T("   690510")</f>
        <v xml:space="preserve">   690510</v>
      </c>
      <c r="B9477" t="str">
        <f>T("   Tuiles")</f>
        <v xml:space="preserve">   Tuiles</v>
      </c>
      <c r="C9477">
        <v>21846</v>
      </c>
      <c r="D9477">
        <v>100</v>
      </c>
    </row>
    <row r="9478" spans="1:4" x14ac:dyDescent="0.25">
      <c r="A9478" t="str">
        <f>T("   690710")</f>
        <v xml:space="preserve">   690710</v>
      </c>
      <c r="B9478" t="str">
        <f>T("   Carreaux, cubes, dés et articles simil., en céramique, pour mosaïques, non vernissés ni émaillés, même de forme autre que carrée ou rectangulaire, dont la plus grande surface peut être inscrite dans un carré de côté &lt; 7 cm, même sur support")</f>
        <v xml:space="preserve">   Carreaux, cubes, dés et articles simil., en céramique, pour mosaïques, non vernissés ni émaillés, même de forme autre que carrée ou rectangulaire, dont la plus grande surface peut être inscrite dans un carré de côté &lt; 7 cm, même sur support</v>
      </c>
      <c r="C9478">
        <v>13750000</v>
      </c>
      <c r="D9478">
        <v>139766</v>
      </c>
    </row>
    <row r="9479" spans="1:4" x14ac:dyDescent="0.25">
      <c r="A9479" t="str">
        <f>T("   690790")</f>
        <v xml:space="preserve">   690790</v>
      </c>
      <c r="B9479" t="s">
        <v>306</v>
      </c>
      <c r="C9479">
        <v>1839293</v>
      </c>
      <c r="D9479">
        <v>11020</v>
      </c>
    </row>
    <row r="9480" spans="1:4" x14ac:dyDescent="0.25">
      <c r="A9480" t="str">
        <f>T("   690810")</f>
        <v xml:space="preserve">   690810</v>
      </c>
      <c r="B9480"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9480">
        <v>1824858</v>
      </c>
      <c r="D9480">
        <v>27805</v>
      </c>
    </row>
    <row r="9481" spans="1:4" x14ac:dyDescent="0.25">
      <c r="A9481" t="str">
        <f>T("   690890")</f>
        <v xml:space="preserve">   690890</v>
      </c>
      <c r="B9481" t="s">
        <v>307</v>
      </c>
      <c r="C9481">
        <v>14582896</v>
      </c>
      <c r="D9481">
        <v>83520</v>
      </c>
    </row>
    <row r="9482" spans="1:4" x14ac:dyDescent="0.25">
      <c r="A9482" t="str">
        <f>T("   691010")</f>
        <v xml:space="preserve">   691010</v>
      </c>
      <c r="B9482" t="s">
        <v>309</v>
      </c>
      <c r="C9482">
        <v>283998</v>
      </c>
      <c r="D9482">
        <v>464</v>
      </c>
    </row>
    <row r="9483" spans="1:4" x14ac:dyDescent="0.25">
      <c r="A9483" t="str">
        <f>T("   691090")</f>
        <v xml:space="preserve">   691090</v>
      </c>
      <c r="B9483" t="s">
        <v>310</v>
      </c>
      <c r="C9483">
        <v>520894</v>
      </c>
      <c r="D9483">
        <v>3402</v>
      </c>
    </row>
    <row r="9484" spans="1:4" x14ac:dyDescent="0.25">
      <c r="A9484" t="str">
        <f>T("   691110")</f>
        <v xml:space="preserve">   691110</v>
      </c>
      <c r="B9484" t="s">
        <v>311</v>
      </c>
      <c r="C9484">
        <v>1028513</v>
      </c>
      <c r="D9484">
        <v>1921</v>
      </c>
    </row>
    <row r="9485" spans="1:4" x14ac:dyDescent="0.25">
      <c r="A9485" t="str">
        <f>T("   691200")</f>
        <v xml:space="preserve">   691200</v>
      </c>
      <c r="B9485" t="s">
        <v>313</v>
      </c>
      <c r="C9485">
        <v>689041</v>
      </c>
      <c r="D9485">
        <v>16718</v>
      </c>
    </row>
    <row r="9486" spans="1:4" x14ac:dyDescent="0.25">
      <c r="A9486" t="str">
        <f>T("   691490")</f>
        <v xml:space="preserve">   691490</v>
      </c>
      <c r="B9486" t="str">
        <f>T("   Ouvrages en céramique autres que la porcelaine n.d.a.")</f>
        <v xml:space="preserve">   Ouvrages en céramique autres que la porcelaine n.d.a.</v>
      </c>
      <c r="C9486">
        <v>109230</v>
      </c>
      <c r="D9486">
        <v>590</v>
      </c>
    </row>
    <row r="9487" spans="1:4" x14ac:dyDescent="0.25">
      <c r="A9487" t="str">
        <f>T("   700490")</f>
        <v xml:space="preserve">   700490</v>
      </c>
      <c r="B9487"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9487">
        <v>18148298</v>
      </c>
      <c r="D9487">
        <v>223820</v>
      </c>
    </row>
    <row r="9488" spans="1:4" x14ac:dyDescent="0.25">
      <c r="A9488" t="str">
        <f>T("   700529")</f>
        <v xml:space="preserve">   700529</v>
      </c>
      <c r="B9488" t="s">
        <v>315</v>
      </c>
      <c r="C9488">
        <v>994828</v>
      </c>
      <c r="D9488">
        <v>1500</v>
      </c>
    </row>
    <row r="9489" spans="1:4" x14ac:dyDescent="0.25">
      <c r="A9489" t="str">
        <f>T("   701010")</f>
        <v xml:space="preserve">   701010</v>
      </c>
      <c r="B9489" t="str">
        <f>T("   AMPOULES EN VERRE")</f>
        <v xml:space="preserve">   AMPOULES EN VERRE</v>
      </c>
      <c r="C9489">
        <v>6400000</v>
      </c>
      <c r="D9489">
        <v>20880</v>
      </c>
    </row>
    <row r="9490" spans="1:4" x14ac:dyDescent="0.25">
      <c r="A9490" t="str">
        <f>T("   701090")</f>
        <v xml:space="preserve">   701090</v>
      </c>
      <c r="B9490" t="s">
        <v>320</v>
      </c>
      <c r="C9490">
        <v>101818</v>
      </c>
      <c r="D9490">
        <v>770</v>
      </c>
    </row>
    <row r="9491" spans="1:4" x14ac:dyDescent="0.25">
      <c r="A9491" t="str">
        <f>T("   701110")</f>
        <v xml:space="preserve">   701110</v>
      </c>
      <c r="B9491" t="str">
        <f>T("   Ampoules en verre, ouvertes, et enveloppes tubulaires en verre, ouvertes, et leurs parties en verre, sans garnitures, pour l'éclairage électrique")</f>
        <v xml:space="preserve">   Ampoules en verre, ouvertes, et enveloppes tubulaires en verre, ouvertes, et leurs parties en verre, sans garnitures, pour l'éclairage électrique</v>
      </c>
      <c r="C9491">
        <v>3000000</v>
      </c>
      <c r="D9491">
        <v>17160</v>
      </c>
    </row>
    <row r="9492" spans="1:4" x14ac:dyDescent="0.25">
      <c r="A9492" t="str">
        <f>T("   701190")</f>
        <v xml:space="preserve">   701190</v>
      </c>
      <c r="B9492"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9492">
        <v>2000000</v>
      </c>
      <c r="D9492">
        <v>11340</v>
      </c>
    </row>
    <row r="9493" spans="1:4" x14ac:dyDescent="0.25">
      <c r="A9493" t="str">
        <f>T("   701200")</f>
        <v xml:space="preserve">   701200</v>
      </c>
      <c r="B9493" t="str">
        <f>T("   Ampoules en verre pour bouteilles isolantes ou pour autres récipients isothermiques, dont l'isolation est assurée par le vide")</f>
        <v xml:space="preserve">   Ampoules en verre pour bouteilles isolantes ou pour autres récipients isothermiques, dont l'isolation est assurée par le vide</v>
      </c>
      <c r="C9493">
        <v>4000000</v>
      </c>
      <c r="D9493">
        <v>11600</v>
      </c>
    </row>
    <row r="9494" spans="1:4" x14ac:dyDescent="0.25">
      <c r="A9494" t="str">
        <f>T("   701321")</f>
        <v xml:space="preserve">   701321</v>
      </c>
      <c r="B9494" t="str">
        <f>T("   Verres à boire en cristal au plomb")</f>
        <v xml:space="preserve">   Verres à boire en cristal au plomb</v>
      </c>
      <c r="C9494">
        <v>162101</v>
      </c>
      <c r="D9494">
        <v>700</v>
      </c>
    </row>
    <row r="9495" spans="1:4" x14ac:dyDescent="0.25">
      <c r="A9495" t="str">
        <f>T("   701329")</f>
        <v xml:space="preserve">   701329</v>
      </c>
      <c r="B9495" t="str">
        <f>T("   Verres à boire (autres qu'en vitrocérame, autres qu'en cristal au plomb)")</f>
        <v xml:space="preserve">   Verres à boire (autres qu'en vitrocérame, autres qu'en cristal au plomb)</v>
      </c>
      <c r="C9495">
        <v>10901292</v>
      </c>
      <c r="D9495">
        <v>28440</v>
      </c>
    </row>
    <row r="9496" spans="1:4" x14ac:dyDescent="0.25">
      <c r="A9496" t="str">
        <f>T("   701919")</f>
        <v xml:space="preserve">   701919</v>
      </c>
      <c r="B9496" t="str">
        <f>T("   Mèches et fils, de fibres de verre (à l'excl. des fils coupés d'une longueur &lt;= 50 mm et des stratifils [rovings])")</f>
        <v xml:space="preserve">   Mèches et fils, de fibres de verre (à l'excl. des fils coupés d'une longueur &lt;= 50 mm et des stratifils [rovings])</v>
      </c>
      <c r="C9496">
        <v>788135</v>
      </c>
      <c r="D9496">
        <v>1900</v>
      </c>
    </row>
    <row r="9497" spans="1:4" x14ac:dyDescent="0.25">
      <c r="A9497" t="str">
        <f>T("   702000")</f>
        <v xml:space="preserve">   702000</v>
      </c>
      <c r="B9497" t="str">
        <f>T("   Ouvrages en verre n.d.a.")</f>
        <v xml:space="preserve">   Ouvrages en verre n.d.a.</v>
      </c>
      <c r="C9497">
        <v>500000</v>
      </c>
      <c r="D9497">
        <v>575</v>
      </c>
    </row>
    <row r="9498" spans="1:4" x14ac:dyDescent="0.25">
      <c r="A9498" t="str">
        <f>T("   720410")</f>
        <v xml:space="preserve">   720410</v>
      </c>
      <c r="B9498" t="str">
        <f>T("   DÉCHETS ET DÉBRIS DE FONTE -FERRAILLES- (AUTRES QUE RADIOACTIFS)")</f>
        <v xml:space="preserve">   DÉCHETS ET DÉBRIS DE FONTE -FERRAILLES- (AUTRES QUE RADIOACTIFS)</v>
      </c>
      <c r="C9498">
        <v>393912</v>
      </c>
      <c r="D9498">
        <v>5720</v>
      </c>
    </row>
    <row r="9499" spans="1:4" x14ac:dyDescent="0.25">
      <c r="A9499" t="str">
        <f>T("   720449")</f>
        <v xml:space="preserve">   720449</v>
      </c>
      <c r="B9499" t="s">
        <v>336</v>
      </c>
      <c r="C9499">
        <v>1683079</v>
      </c>
      <c r="D9499">
        <v>19830</v>
      </c>
    </row>
    <row r="9500" spans="1:4" x14ac:dyDescent="0.25">
      <c r="A9500" t="str">
        <f>T("   720853")</f>
        <v xml:space="preserve">   720853</v>
      </c>
      <c r="B9500" t="str">
        <f>T("   PRODUITS LAMINÉS PLATS, EN FER OU EN ACIER NON-ALLIÉS, D'UNE LARGEUR &gt;= 600 MM, NON-ENROULÉS, SIMPL. LAMINÉS À CHAUD, NON-PLAQUÉS NI REVÊTUS, ÉPAISSEUR &gt;= 3 MM MAIS &lt; 4,75 MM, SANS MOTIFS EN RELIEF")</f>
        <v xml:space="preserve">   PRODUITS LAMINÉS PLATS, EN FER OU EN ACIER NON-ALLIÉS, D'UNE LARGEUR &gt;= 600 MM, NON-ENROULÉS, SIMPL. LAMINÉS À CHAUD, NON-PLAQUÉS NI REVÊTUS, ÉPAISSEUR &gt;= 3 MM MAIS &lt; 4,75 MM, SANS MOTIFS EN RELIEF</v>
      </c>
      <c r="C9500">
        <v>42648067</v>
      </c>
      <c r="D9500">
        <v>105000</v>
      </c>
    </row>
    <row r="9501" spans="1:4" x14ac:dyDescent="0.25">
      <c r="A9501" t="str">
        <f>T("   720918")</f>
        <v xml:space="preserve">   720918</v>
      </c>
      <c r="B9501" t="str">
        <f>T("   PRODUITS LAMINÉS PLATS, EN FER OU EN ACIERS NON-ALLIÉS, D'UNE LARGEUR &gt;= 600 MM, NON-PLAQUÉS NI REVÊTUS, ENROULÉS, SIMPL. LAMINÉS À FROID, D'UNE ÉPAISSEUR &lt; 0,5 MM")</f>
        <v xml:space="preserve">   PRODUITS LAMINÉS PLATS, EN FER OU EN ACIERS NON-ALLIÉS, D'UNE LARGEUR &gt;= 600 MM, NON-PLAQUÉS NI REVÊTUS, ENROULÉS, SIMPL. LAMINÉS À FROID, D'UNE ÉPAISSEUR &lt; 0,5 MM</v>
      </c>
      <c r="C9501">
        <v>46315398</v>
      </c>
      <c r="D9501">
        <v>89380</v>
      </c>
    </row>
    <row r="9502" spans="1:4" x14ac:dyDescent="0.25">
      <c r="A9502" t="str">
        <f>T("   720925")</f>
        <v xml:space="preserve">   720925</v>
      </c>
      <c r="B9502" t="str">
        <f>T("   PRODUITS LAMINÉS PLATS, EN FER OU EN ACIERS NON ALLIÉS, D'UNE LARGEUR &gt;= 600 MM, NON ENROULÉS, SIMPLEMENT LAMINÉS À FROID, NON PLAQUÉS NI REVÊTUS, ÉPAISSEUR &gt;= 3 MM")</f>
        <v xml:space="preserve">   PRODUITS LAMINÉS PLATS, EN FER OU EN ACIERS NON ALLIÉS, D'UNE LARGEUR &gt;= 600 MM, NON ENROULÉS, SIMPLEMENT LAMINÉS À FROID, NON PLAQUÉS NI REVÊTUS, ÉPAISSEUR &gt;= 3 MM</v>
      </c>
      <c r="C9502">
        <v>17201936</v>
      </c>
      <c r="D9502">
        <v>40000</v>
      </c>
    </row>
    <row r="9503" spans="1:4" x14ac:dyDescent="0.25">
      <c r="A9503" t="str">
        <f>T("   721020")</f>
        <v xml:space="preserve">   721020</v>
      </c>
      <c r="B9503" t="str">
        <f>T("   Produits laminés plats, en fer ou en aciers non alliés, d'une largeur &gt;= 600 mm, laminés à chaud ou à froid, plombés, y.c. le fer terne")</f>
        <v xml:space="preserve">   Produits laminés plats, en fer ou en aciers non alliés, d'une largeur &gt;= 600 mm, laminés à chaud ou à froid, plombés, y.c. le fer terne</v>
      </c>
      <c r="C9503">
        <v>171889</v>
      </c>
      <c r="D9503">
        <v>720</v>
      </c>
    </row>
    <row r="9504" spans="1:4" x14ac:dyDescent="0.25">
      <c r="A9504" t="str">
        <f>T("   721041")</f>
        <v xml:space="preserve">   721041</v>
      </c>
      <c r="B9504"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9504">
        <v>497753016</v>
      </c>
      <c r="D9504">
        <v>1170459</v>
      </c>
    </row>
    <row r="9505" spans="1:4" x14ac:dyDescent="0.25">
      <c r="A9505" t="str">
        <f>T("   721049")</f>
        <v xml:space="preserve">   721049</v>
      </c>
      <c r="B9505"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9505">
        <v>5619712</v>
      </c>
      <c r="D9505">
        <v>9363</v>
      </c>
    </row>
    <row r="9506" spans="1:4" x14ac:dyDescent="0.25">
      <c r="A9506" t="str">
        <f>T("   721070")</f>
        <v xml:space="preserve">   721070</v>
      </c>
      <c r="B9506" t="str">
        <f>T("   PRODUITS LAMINÉS PLATS, EN FER OU EN ACIERS NON-ALLIÉS, D'UNE LARGEUR &gt;= 600 MM, LAMINÉS À CHAUD OU À FROID, PEINTS, VERNIS OU REVÊTUS DE MATIÈRES PLASTIQUES")</f>
        <v xml:space="preserve">   PRODUITS LAMINÉS PLATS, EN FER OU EN ACIERS NON-ALLIÉS, D'UNE LARGEUR &gt;= 600 MM, LAMINÉS À CHAUD OU À FROID, PEINTS, VERNIS OU REVÊTUS DE MATIÈRES PLASTIQUES</v>
      </c>
      <c r="C9506">
        <v>72872357</v>
      </c>
      <c r="D9506">
        <v>121110</v>
      </c>
    </row>
    <row r="9507" spans="1:4" x14ac:dyDescent="0.25">
      <c r="A9507" t="str">
        <f>T("   721090")</f>
        <v xml:space="preserve">   721090</v>
      </c>
      <c r="B9507" t="s">
        <v>337</v>
      </c>
      <c r="C9507">
        <v>2440197</v>
      </c>
      <c r="D9507">
        <v>9585</v>
      </c>
    </row>
    <row r="9508" spans="1:4" x14ac:dyDescent="0.25">
      <c r="A9508" t="str">
        <f>T("   721391")</f>
        <v xml:space="preserve">   721391</v>
      </c>
      <c r="B9508"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9508">
        <v>363416756</v>
      </c>
      <c r="D9508">
        <v>1150508</v>
      </c>
    </row>
    <row r="9509" spans="1:4" x14ac:dyDescent="0.25">
      <c r="A9509" t="str">
        <f>T("   721420")</f>
        <v xml:space="preserve">   721420</v>
      </c>
      <c r="B9509"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9509">
        <v>405959351</v>
      </c>
      <c r="D9509">
        <v>1170000</v>
      </c>
    </row>
    <row r="9510" spans="1:4" x14ac:dyDescent="0.25">
      <c r="A9510" t="str">
        <f>T("   721491")</f>
        <v xml:space="preserve">   721491</v>
      </c>
      <c r="B9510" t="s">
        <v>339</v>
      </c>
      <c r="C9510">
        <v>25645848</v>
      </c>
      <c r="D9510">
        <v>55000</v>
      </c>
    </row>
    <row r="9511" spans="1:4" x14ac:dyDescent="0.25">
      <c r="A9511" t="str">
        <f>T("   721499")</f>
        <v xml:space="preserve">   721499</v>
      </c>
      <c r="B9511" t="s">
        <v>340</v>
      </c>
      <c r="C9511">
        <v>43700</v>
      </c>
      <c r="D9511">
        <v>200</v>
      </c>
    </row>
    <row r="9512" spans="1:4" x14ac:dyDescent="0.25">
      <c r="A9512" t="str">
        <f>T("   721510")</f>
        <v xml:space="preserve">   721510</v>
      </c>
      <c r="B9512" t="str">
        <f>T("   Barres en aciers de décolletage non alliés, simplement obtenues ou parachevées à froid")</f>
        <v xml:space="preserve">   Barres en aciers de décolletage non alliés, simplement obtenues ou parachevées à froid</v>
      </c>
      <c r="C9512">
        <v>1266856</v>
      </c>
      <c r="D9512">
        <v>3000</v>
      </c>
    </row>
    <row r="9513" spans="1:4" x14ac:dyDescent="0.25">
      <c r="A9513" t="str">
        <f>T("   721610")</f>
        <v xml:space="preserve">   721610</v>
      </c>
      <c r="B9513" t="str">
        <f>T("   PROFILÉS U, I OU H EN FER OU EN ACIERS NON ALLIÉS, SIMPLEMENT LAMINÉS OU FILÉS À CHAUD, HAUTEUR &lt; 80 MM")</f>
        <v xml:space="preserve">   PROFILÉS U, I OU H EN FER OU EN ACIERS NON ALLIÉS, SIMPLEMENT LAMINÉS OU FILÉS À CHAUD, HAUTEUR &lt; 80 MM</v>
      </c>
      <c r="C9513">
        <v>1753158</v>
      </c>
      <c r="D9513">
        <v>7480</v>
      </c>
    </row>
    <row r="9514" spans="1:4" x14ac:dyDescent="0.25">
      <c r="A9514" t="str">
        <f>T("   721650")</f>
        <v xml:space="preserve">   721650</v>
      </c>
      <c r="B9514"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9514">
        <v>31904457</v>
      </c>
      <c r="D9514">
        <v>110000</v>
      </c>
    </row>
    <row r="9515" spans="1:4" x14ac:dyDescent="0.25">
      <c r="A9515" t="str">
        <f>T("   721661")</f>
        <v xml:space="preserve">   721661</v>
      </c>
      <c r="B9515"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9515">
        <v>248837068</v>
      </c>
      <c r="D9515">
        <v>613000</v>
      </c>
    </row>
    <row r="9516" spans="1:4" x14ac:dyDescent="0.25">
      <c r="A9516" t="str">
        <f>T("   721669")</f>
        <v xml:space="preserve">   721669</v>
      </c>
      <c r="B9516"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9516">
        <v>6598422</v>
      </c>
      <c r="D9516">
        <v>30220</v>
      </c>
    </row>
    <row r="9517" spans="1:4" x14ac:dyDescent="0.25">
      <c r="A9517" t="str">
        <f>T("   721699")</f>
        <v xml:space="preserve">   721699</v>
      </c>
      <c r="B9517" t="s">
        <v>341</v>
      </c>
      <c r="C9517">
        <v>6089960</v>
      </c>
      <c r="D9517">
        <v>15000</v>
      </c>
    </row>
    <row r="9518" spans="1:4" x14ac:dyDescent="0.25">
      <c r="A9518" t="str">
        <f>T("   721710")</f>
        <v xml:space="preserve">   721710</v>
      </c>
      <c r="B9518" t="str">
        <f>T("   FILS EN FER OU EN ACIERS NON-ALLIÉS, ENROULÉS, NON-REVÊTUS, MÊME POLIS (À L'EXCL. DU FIL MACHINE)")</f>
        <v xml:space="preserve">   FILS EN FER OU EN ACIERS NON-ALLIÉS, ENROULÉS, NON-REVÊTUS, MÊME POLIS (À L'EXCL. DU FIL MACHINE)</v>
      </c>
      <c r="C9518">
        <v>8799794</v>
      </c>
      <c r="D9518">
        <v>28000</v>
      </c>
    </row>
    <row r="9519" spans="1:4" x14ac:dyDescent="0.25">
      <c r="A9519" t="str">
        <f>T("   721720")</f>
        <v xml:space="preserve">   721720</v>
      </c>
      <c r="B9519" t="str">
        <f>T("   FILS EN FER OU EN ACIERS NON-ALLIÉS, ENROULÉS, ZINGUÉS (À L'EXCL. DU FIL MACHINE)")</f>
        <v xml:space="preserve">   FILS EN FER OU EN ACIERS NON-ALLIÉS, ENROULÉS, ZINGUÉS (À L'EXCL. DU FIL MACHINE)</v>
      </c>
      <c r="C9519">
        <v>52177275</v>
      </c>
      <c r="D9519">
        <v>121000</v>
      </c>
    </row>
    <row r="9520" spans="1:4" x14ac:dyDescent="0.25">
      <c r="A9520" t="str">
        <f>T("   721790")</f>
        <v xml:space="preserve">   721790</v>
      </c>
      <c r="B9520"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9520">
        <v>43884891</v>
      </c>
      <c r="D9520">
        <v>120200</v>
      </c>
    </row>
    <row r="9521" spans="1:4" x14ac:dyDescent="0.25">
      <c r="A9521" t="str">
        <f>T("   722880")</f>
        <v xml:space="preserve">   722880</v>
      </c>
      <c r="B9521" t="str">
        <f>T("   Barres creuses pour le forage, en aciers alliés ou non alliés")</f>
        <v xml:space="preserve">   Barres creuses pour le forage, en aciers alliés ou non alliés</v>
      </c>
      <c r="C9521">
        <v>17427361</v>
      </c>
      <c r="D9521">
        <v>34000</v>
      </c>
    </row>
    <row r="9522" spans="1:4" x14ac:dyDescent="0.25">
      <c r="A9522" t="str">
        <f>T("   730439")</f>
        <v xml:space="preserve">   730439</v>
      </c>
      <c r="B9522" t="s">
        <v>344</v>
      </c>
      <c r="C9522">
        <v>4125626</v>
      </c>
      <c r="D9522">
        <v>12985</v>
      </c>
    </row>
    <row r="9523" spans="1:4" x14ac:dyDescent="0.25">
      <c r="A9523" t="str">
        <f>T("   730520")</f>
        <v xml:space="preserve">   730520</v>
      </c>
      <c r="B9523" t="str">
        <f>T("   Tubes et tuyaux de cuvelage des types utilisés pour l'extraction du pétrole ou du gaz, de section circulaire, d'un diamètre extérieur &gt; 406,4 mm, en produits laminés plats en fer ou en acier")</f>
        <v xml:space="preserve">   Tubes et tuyaux de cuvelage des types utilisés pour l'extraction du pétrole ou du gaz, de section circulaire, d'un diamètre extérieur &gt; 406,4 mm, en produits laminés plats en fer ou en acier</v>
      </c>
      <c r="C9523">
        <v>179051</v>
      </c>
      <c r="D9523">
        <v>260</v>
      </c>
    </row>
    <row r="9524" spans="1:4" x14ac:dyDescent="0.25">
      <c r="A9524" t="str">
        <f>T("   730630")</f>
        <v xml:space="preserve">   730630</v>
      </c>
      <c r="B9524" t="s">
        <v>345</v>
      </c>
      <c r="C9524">
        <v>197791912</v>
      </c>
      <c r="D9524">
        <v>463400</v>
      </c>
    </row>
    <row r="9525" spans="1:4" x14ac:dyDescent="0.25">
      <c r="A9525" t="str">
        <f>T("   730640")</f>
        <v xml:space="preserve">   730640</v>
      </c>
      <c r="B9525" t="s">
        <v>346</v>
      </c>
      <c r="C9525">
        <v>4663736</v>
      </c>
      <c r="D9525">
        <v>10000</v>
      </c>
    </row>
    <row r="9526" spans="1:4" x14ac:dyDescent="0.25">
      <c r="A9526" t="str">
        <f>T("   730650")</f>
        <v xml:space="preserve">   730650</v>
      </c>
      <c r="B9526" t="s">
        <v>347</v>
      </c>
      <c r="C9526">
        <v>62249630</v>
      </c>
      <c r="D9526">
        <v>155000</v>
      </c>
    </row>
    <row r="9527" spans="1:4" x14ac:dyDescent="0.25">
      <c r="A9527" t="str">
        <f>T("   730660")</f>
        <v xml:space="preserve">   730660</v>
      </c>
      <c r="B9527" t="s">
        <v>348</v>
      </c>
      <c r="C9527">
        <v>215474761</v>
      </c>
      <c r="D9527">
        <v>517000</v>
      </c>
    </row>
    <row r="9528" spans="1:4" x14ac:dyDescent="0.25">
      <c r="A9528" t="str">
        <f>T("   730690")</f>
        <v xml:space="preserve">   730690</v>
      </c>
      <c r="B9528"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9528">
        <v>272219841</v>
      </c>
      <c r="D9528">
        <v>617827</v>
      </c>
    </row>
    <row r="9529" spans="1:4" x14ac:dyDescent="0.25">
      <c r="A9529" t="str">
        <f>T("   730711")</f>
        <v xml:space="preserve">   730711</v>
      </c>
      <c r="B9529" t="str">
        <f>T("   ACCESSOIRES DE TUYAUTERIE MOULÉS EN FONTE NON-MALLÉABLE")</f>
        <v xml:space="preserve">   ACCESSOIRES DE TUYAUTERIE MOULÉS EN FONTE NON-MALLÉABLE</v>
      </c>
      <c r="C9529">
        <v>45782137</v>
      </c>
      <c r="D9529">
        <v>105000</v>
      </c>
    </row>
    <row r="9530" spans="1:4" x14ac:dyDescent="0.25">
      <c r="A9530" t="str">
        <f>T("   730799")</f>
        <v xml:space="preserve">   730799</v>
      </c>
      <c r="B9530"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9530">
        <v>369305</v>
      </c>
      <c r="D9530">
        <v>200</v>
      </c>
    </row>
    <row r="9531" spans="1:4" x14ac:dyDescent="0.25">
      <c r="A9531" t="str">
        <f>T("   730840")</f>
        <v xml:space="preserve">   730840</v>
      </c>
      <c r="B9531"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9531">
        <v>250672</v>
      </c>
      <c r="D9531">
        <v>156</v>
      </c>
    </row>
    <row r="9532" spans="1:4" x14ac:dyDescent="0.25">
      <c r="A9532" t="str">
        <f>T("   730890")</f>
        <v xml:space="preserve">   730890</v>
      </c>
      <c r="B9532" t="s">
        <v>349</v>
      </c>
      <c r="C9532">
        <v>42227373</v>
      </c>
      <c r="D9532">
        <v>22700</v>
      </c>
    </row>
    <row r="9533" spans="1:4" x14ac:dyDescent="0.25">
      <c r="A9533" t="str">
        <f>T("   730900")</f>
        <v xml:space="preserve">   730900</v>
      </c>
      <c r="B9533" t="s">
        <v>350</v>
      </c>
      <c r="C9533">
        <v>6469304</v>
      </c>
      <c r="D9533">
        <v>12703</v>
      </c>
    </row>
    <row r="9534" spans="1:4" x14ac:dyDescent="0.25">
      <c r="A9534" t="str">
        <f>T("   731021")</f>
        <v xml:space="preserve">   731021</v>
      </c>
      <c r="B9534"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9534">
        <v>125234</v>
      </c>
      <c r="D9534">
        <v>300</v>
      </c>
    </row>
    <row r="9535" spans="1:4" x14ac:dyDescent="0.25">
      <c r="A9535" t="str">
        <f>T("   731029")</f>
        <v xml:space="preserve">   731029</v>
      </c>
      <c r="B9535"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9535">
        <v>72000</v>
      </c>
      <c r="D9535">
        <v>960</v>
      </c>
    </row>
    <row r="9536" spans="1:4" x14ac:dyDescent="0.25">
      <c r="A9536" t="str">
        <f>T("   731300")</f>
        <v xml:space="preserve">   731300</v>
      </c>
      <c r="B9536" t="str">
        <f>T("   Ronces artificielles en fer ou en acier; torsades, barbelées ou non, en fils ou en feuillard de fer ou d'acier, des types utilisés pour les clôtures")</f>
        <v xml:space="preserve">   Ronces artificielles en fer ou en acier; torsades, barbelées ou non, en fils ou en feuillard de fer ou d'acier, des types utilisés pour les clôtures</v>
      </c>
      <c r="C9536">
        <v>218460</v>
      </c>
      <c r="D9536">
        <v>220</v>
      </c>
    </row>
    <row r="9537" spans="1:4" x14ac:dyDescent="0.25">
      <c r="A9537" t="str">
        <f>T("   731420")</f>
        <v xml:space="preserve">   731420</v>
      </c>
      <c r="B9537" t="str">
        <f>T("   Grillages et treillis, soudés aux points de rencontre, d'une surface de mailles &gt;= 100 cm², en fils de fer ou d'acier, dont la plus grande dimension de la coupe transversale est &gt;= 3 mm")</f>
        <v xml:space="preserve">   Grillages et treillis, soudés aux points de rencontre, d'une surface de mailles &gt;= 100 cm², en fils de fer ou d'acier, dont la plus grande dimension de la coupe transversale est &gt;= 3 mm</v>
      </c>
      <c r="C9537">
        <v>8700000</v>
      </c>
      <c r="D9537">
        <v>59980</v>
      </c>
    </row>
    <row r="9538" spans="1:4" x14ac:dyDescent="0.25">
      <c r="A9538" t="str">
        <f>T("   731449")</f>
        <v xml:space="preserve">   731449</v>
      </c>
      <c r="B9538"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9538">
        <v>8479405</v>
      </c>
      <c r="D9538">
        <v>6400</v>
      </c>
    </row>
    <row r="9539" spans="1:4" x14ac:dyDescent="0.25">
      <c r="A9539" t="str">
        <f>T("   731450")</f>
        <v xml:space="preserve">   731450</v>
      </c>
      <c r="B9539" t="str">
        <f>T("   Tôles et bandes déployées en fer ou en acier")</f>
        <v xml:space="preserve">   Tôles et bandes déployées en fer ou en acier</v>
      </c>
      <c r="C9539">
        <v>23285939</v>
      </c>
      <c r="D9539">
        <v>61240</v>
      </c>
    </row>
    <row r="9540" spans="1:4" x14ac:dyDescent="0.25">
      <c r="A9540" t="str">
        <f>T("   731700")</f>
        <v xml:space="preserve">   731700</v>
      </c>
      <c r="B9540"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9540">
        <v>137047053</v>
      </c>
      <c r="D9540">
        <v>459794</v>
      </c>
    </row>
    <row r="9541" spans="1:4" x14ac:dyDescent="0.25">
      <c r="A9541" t="str">
        <f>T("   731815")</f>
        <v xml:space="preserve">   731815</v>
      </c>
      <c r="B9541" t="s">
        <v>354</v>
      </c>
      <c r="C9541">
        <v>56535</v>
      </c>
      <c r="D9541">
        <v>241</v>
      </c>
    </row>
    <row r="9542" spans="1:4" x14ac:dyDescent="0.25">
      <c r="A9542" t="str">
        <f>T("   731816")</f>
        <v xml:space="preserve">   731816</v>
      </c>
      <c r="B9542" t="str">
        <f>T("   ÉCROUS EN FONTE, FER OU ACIER")</f>
        <v xml:space="preserve">   ÉCROUS EN FONTE, FER OU ACIER</v>
      </c>
      <c r="C9542">
        <v>142365</v>
      </c>
      <c r="D9542">
        <v>33</v>
      </c>
    </row>
    <row r="9543" spans="1:4" x14ac:dyDescent="0.25">
      <c r="A9543" t="str">
        <f>T("   732111")</f>
        <v xml:space="preserve">   732111</v>
      </c>
      <c r="B9543" t="s">
        <v>356</v>
      </c>
      <c r="C9543">
        <v>229383</v>
      </c>
      <c r="D9543">
        <v>160</v>
      </c>
    </row>
    <row r="9544" spans="1:4" x14ac:dyDescent="0.25">
      <c r="A9544" t="str">
        <f>T("   732112")</f>
        <v xml:space="preserve">   732112</v>
      </c>
      <c r="B9544" t="s">
        <v>357</v>
      </c>
      <c r="C9544">
        <v>105818</v>
      </c>
      <c r="D9544">
        <v>13296</v>
      </c>
    </row>
    <row r="9545" spans="1:4" x14ac:dyDescent="0.25">
      <c r="A9545" t="str">
        <f>T("   732190")</f>
        <v xml:space="preserve">   732190</v>
      </c>
      <c r="B9545" t="str">
        <f>T("   Parties des appareils ménagers chauffants non-électriques du n° 7321, n.d.a.")</f>
        <v xml:space="preserve">   Parties des appareils ménagers chauffants non-électriques du n° 7321, n.d.a.</v>
      </c>
      <c r="C9545">
        <v>16170000</v>
      </c>
      <c r="D9545">
        <v>1984</v>
      </c>
    </row>
    <row r="9546" spans="1:4" x14ac:dyDescent="0.25">
      <c r="A9546" t="str">
        <f>T("   732310")</f>
        <v xml:space="preserve">   732310</v>
      </c>
      <c r="B9546"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9546">
        <v>6594923</v>
      </c>
      <c r="D9546">
        <v>21307</v>
      </c>
    </row>
    <row r="9547" spans="1:4" x14ac:dyDescent="0.25">
      <c r="A9547" t="str">
        <f>T("   732392")</f>
        <v xml:space="preserve">   732392</v>
      </c>
      <c r="B9547" t="s">
        <v>360</v>
      </c>
      <c r="C9547">
        <v>16906956</v>
      </c>
      <c r="D9547">
        <v>115244</v>
      </c>
    </row>
    <row r="9548" spans="1:4" x14ac:dyDescent="0.25">
      <c r="A9548" t="str">
        <f>T("   732393")</f>
        <v xml:space="preserve">   732393</v>
      </c>
      <c r="B9548" t="s">
        <v>361</v>
      </c>
      <c r="C9548">
        <v>133518</v>
      </c>
      <c r="D9548">
        <v>1883</v>
      </c>
    </row>
    <row r="9549" spans="1:4" x14ac:dyDescent="0.25">
      <c r="A9549" t="str">
        <f>T("   732394")</f>
        <v xml:space="preserve">   732394</v>
      </c>
      <c r="B9549" t="s">
        <v>362</v>
      </c>
      <c r="C9549">
        <v>3568157</v>
      </c>
      <c r="D9549">
        <v>5170</v>
      </c>
    </row>
    <row r="9550" spans="1:4" x14ac:dyDescent="0.25">
      <c r="A9550" t="str">
        <f>T("   732399")</f>
        <v xml:space="preserve">   732399</v>
      </c>
      <c r="B9550" t="s">
        <v>363</v>
      </c>
      <c r="C9550">
        <v>5203782</v>
      </c>
      <c r="D9550">
        <v>26763</v>
      </c>
    </row>
    <row r="9551" spans="1:4" x14ac:dyDescent="0.25">
      <c r="A9551" t="str">
        <f>T("   732410")</f>
        <v xml:space="preserve">   732410</v>
      </c>
      <c r="B9551" t="str">
        <f>T("   ÉVIERS ET LAVABOS EN ACIER INOXYDABLE")</f>
        <v xml:space="preserve">   ÉVIERS ET LAVABOS EN ACIER INOXYDABLE</v>
      </c>
      <c r="C9551">
        <v>29473</v>
      </c>
      <c r="D9551">
        <v>390</v>
      </c>
    </row>
    <row r="9552" spans="1:4" x14ac:dyDescent="0.25">
      <c r="A9552" t="str">
        <f>T("   732490")</f>
        <v xml:space="preserve">   732490</v>
      </c>
      <c r="B9552" t="s">
        <v>364</v>
      </c>
      <c r="C9552">
        <v>74276</v>
      </c>
      <c r="D9552">
        <v>236</v>
      </c>
    </row>
    <row r="9553" spans="1:4" x14ac:dyDescent="0.25">
      <c r="A9553" t="str">
        <f>T("   732619")</f>
        <v xml:space="preserve">   732619</v>
      </c>
      <c r="B9553"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9553">
        <v>375751</v>
      </c>
      <c r="D9553">
        <v>2502</v>
      </c>
    </row>
    <row r="9554" spans="1:4" x14ac:dyDescent="0.25">
      <c r="A9554" t="str">
        <f>T("   732620")</f>
        <v xml:space="preserve">   732620</v>
      </c>
      <c r="B9554" t="str">
        <f>T("   Ouvrages en fil de fer ou d'acier, n.d.a.")</f>
        <v xml:space="preserve">   Ouvrages en fil de fer ou d'acier, n.d.a.</v>
      </c>
      <c r="C9554">
        <v>8302411</v>
      </c>
      <c r="D9554">
        <v>21730</v>
      </c>
    </row>
    <row r="9555" spans="1:4" x14ac:dyDescent="0.25">
      <c r="A9555" t="str">
        <f>T("   732690")</f>
        <v xml:space="preserve">   732690</v>
      </c>
      <c r="B9555"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9555">
        <v>175797</v>
      </c>
      <c r="D9555">
        <v>28</v>
      </c>
    </row>
    <row r="9556" spans="1:4" x14ac:dyDescent="0.25">
      <c r="A9556" t="str">
        <f>T("   740729")</f>
        <v xml:space="preserve">   740729</v>
      </c>
      <c r="B9556" t="str">
        <f>T("   BARRES ET PROFILÉS EN ALLIAGES DE CUIVRE, N.D.A. (SAUF EN ALLIAGES À BASE DE CUIVRE-ZINC -LAITON-)")</f>
        <v xml:space="preserve">   BARRES ET PROFILÉS EN ALLIAGES DE CUIVRE, N.D.A. (SAUF EN ALLIAGES À BASE DE CUIVRE-ZINC -LAITON-)</v>
      </c>
      <c r="C9556">
        <v>3000000</v>
      </c>
      <c r="D9556">
        <v>23200</v>
      </c>
    </row>
    <row r="9557" spans="1:4" x14ac:dyDescent="0.25">
      <c r="A9557" t="str">
        <f>T("   760410")</f>
        <v xml:space="preserve">   760410</v>
      </c>
      <c r="B9557" t="str">
        <f>T("   BARRES ET PROFILÉS EN ALUMINIUM NON-ALLIÉ, N.D.A.")</f>
        <v xml:space="preserve">   BARRES ET PROFILÉS EN ALUMINIUM NON-ALLIÉ, N.D.A.</v>
      </c>
      <c r="C9557">
        <v>27513011</v>
      </c>
      <c r="D9557">
        <v>30740</v>
      </c>
    </row>
    <row r="9558" spans="1:4" x14ac:dyDescent="0.25">
      <c r="A9558" t="str">
        <f>T("   760421")</f>
        <v xml:space="preserve">   760421</v>
      </c>
      <c r="B9558" t="str">
        <f>T("   Profilés creux en alliages d'aluminium, n.d.a.")</f>
        <v xml:space="preserve">   Profilés creux en alliages d'aluminium, n.d.a.</v>
      </c>
      <c r="C9558">
        <v>8806618</v>
      </c>
      <c r="D9558">
        <v>22500</v>
      </c>
    </row>
    <row r="9559" spans="1:4" x14ac:dyDescent="0.25">
      <c r="A9559" t="str">
        <f>T("   760429")</f>
        <v xml:space="preserve">   760429</v>
      </c>
      <c r="B9559" t="str">
        <f>T("   Barres et profilés pleins en alliages d'aluminium, n.d.a.")</f>
        <v xml:space="preserve">   Barres et profilés pleins en alliages d'aluminium, n.d.a.</v>
      </c>
      <c r="C9559">
        <v>7811713</v>
      </c>
      <c r="D9559">
        <v>37010</v>
      </c>
    </row>
    <row r="9560" spans="1:4" x14ac:dyDescent="0.25">
      <c r="A9560" t="str">
        <f>T("   760511")</f>
        <v xml:space="preserve">   760511</v>
      </c>
      <c r="B9560" t="str">
        <f>T("   Fils en aluminium non allié, plus grande dimension de la section transversale &gt; 7 mm (sauf torons, câbles, tresses et simil. du n° 7614, sauf fils isolés pour l'électricité)")</f>
        <v xml:space="preserve">   Fils en aluminium non allié, plus grande dimension de la section transversale &gt; 7 mm (sauf torons, câbles, tresses et simil. du n° 7614, sauf fils isolés pour l'électricité)</v>
      </c>
      <c r="C9560">
        <v>1610711</v>
      </c>
      <c r="D9560">
        <v>1460</v>
      </c>
    </row>
    <row r="9561" spans="1:4" x14ac:dyDescent="0.25">
      <c r="A9561" t="str">
        <f>T("   760611")</f>
        <v xml:space="preserve">   760611</v>
      </c>
      <c r="B9561"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9561">
        <v>56680853</v>
      </c>
      <c r="D9561">
        <v>130000</v>
      </c>
    </row>
    <row r="9562" spans="1:4" x14ac:dyDescent="0.25">
      <c r="A9562" t="str">
        <f>T("   760612")</f>
        <v xml:space="preserve">   760612</v>
      </c>
      <c r="B9562" t="str">
        <f>T("   Tôles et bandes en alliages d'aluminium, d'une épaisseur &gt; 0,2 mm, de forme carrée ou rectangulaire (sauf tôles et bandes déployées)")</f>
        <v xml:space="preserve">   Tôles et bandes en alliages d'aluminium, d'une épaisseur &gt; 0,2 mm, de forme carrée ou rectangulaire (sauf tôles et bandes déployées)</v>
      </c>
      <c r="C9562">
        <v>608773</v>
      </c>
      <c r="D9562">
        <v>4420</v>
      </c>
    </row>
    <row r="9563" spans="1:4" x14ac:dyDescent="0.25">
      <c r="A9563" t="str">
        <f>T("   760719")</f>
        <v xml:space="preserve">   760719</v>
      </c>
      <c r="B9563"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9563">
        <v>73801</v>
      </c>
      <c r="D9563">
        <v>30</v>
      </c>
    </row>
    <row r="9564" spans="1:4" x14ac:dyDescent="0.25">
      <c r="A9564" t="str">
        <f>T("   761010")</f>
        <v xml:space="preserve">   761010</v>
      </c>
      <c r="B9564" t="str">
        <f>T("   Portes, fenêtres et leurs cadres, chambranles et seuils, en aluminium (sauf pièces de garnissage)")</f>
        <v xml:space="preserve">   Portes, fenêtres et leurs cadres, chambranles et seuils, en aluminium (sauf pièces de garnissage)</v>
      </c>
      <c r="C9564">
        <v>12553773</v>
      </c>
      <c r="D9564">
        <v>70231</v>
      </c>
    </row>
    <row r="9565" spans="1:4" x14ac:dyDescent="0.25">
      <c r="A9565" t="str">
        <f>T("   761090")</f>
        <v xml:space="preserve">   761090</v>
      </c>
      <c r="B9565"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9565">
        <v>497114217</v>
      </c>
      <c r="D9565">
        <v>251746</v>
      </c>
    </row>
    <row r="9566" spans="1:4" x14ac:dyDescent="0.25">
      <c r="A9566" t="str">
        <f>T("   761519")</f>
        <v xml:space="preserve">   761519</v>
      </c>
      <c r="B9566" t="s">
        <v>373</v>
      </c>
      <c r="C9566">
        <v>28850674</v>
      </c>
      <c r="D9566">
        <v>57622</v>
      </c>
    </row>
    <row r="9567" spans="1:4" x14ac:dyDescent="0.25">
      <c r="A9567" t="str">
        <f>T("   761610")</f>
        <v xml:space="preserve">   761610</v>
      </c>
      <c r="B9567" t="s">
        <v>374</v>
      </c>
      <c r="C9567">
        <v>450000</v>
      </c>
      <c r="D9567">
        <v>480</v>
      </c>
    </row>
    <row r="9568" spans="1:4" x14ac:dyDescent="0.25">
      <c r="A9568" t="str">
        <f>T("   761699")</f>
        <v xml:space="preserve">   761699</v>
      </c>
      <c r="B9568" t="str">
        <f>T("   Ouvrages en aluminium, n.d.a.")</f>
        <v xml:space="preserve">   Ouvrages en aluminium, n.d.a.</v>
      </c>
      <c r="C9568">
        <v>57284</v>
      </c>
      <c r="D9568">
        <v>1100</v>
      </c>
    </row>
    <row r="9569" spans="1:4" x14ac:dyDescent="0.25">
      <c r="A9569" t="str">
        <f>T("   780419")</f>
        <v xml:space="preserve">   780419</v>
      </c>
      <c r="B9569" t="str">
        <f>T("   Tables en plomb; feuilles et bandes, en plomb, épaisseur, support non compris, &gt; 0,2 mm")</f>
        <v xml:space="preserve">   Tables en plomb; feuilles et bandes, en plomb, épaisseur, support non compris, &gt; 0,2 mm</v>
      </c>
      <c r="C9569">
        <v>230258</v>
      </c>
      <c r="D9569">
        <v>200</v>
      </c>
    </row>
    <row r="9570" spans="1:4" x14ac:dyDescent="0.25">
      <c r="A9570" t="str">
        <f>T("   820110")</f>
        <v xml:space="preserve">   820110</v>
      </c>
      <c r="B9570" t="str">
        <f>T("   Bêches et pelles, avec partie travaillante en métaux communs")</f>
        <v xml:space="preserve">   Bêches et pelles, avec partie travaillante en métaux communs</v>
      </c>
      <c r="C9570">
        <v>3000000</v>
      </c>
      <c r="D9570">
        <v>8230</v>
      </c>
    </row>
    <row r="9571" spans="1:4" x14ac:dyDescent="0.25">
      <c r="A9571" t="str">
        <f>T("   820140")</f>
        <v xml:space="preserve">   820140</v>
      </c>
      <c r="B9571" t="str">
        <f>T("   Haches, serpes et outils simil. à taillants, avec partie travaillante en métaux communs")</f>
        <v xml:space="preserve">   Haches, serpes et outils simil. à taillants, avec partie travaillante en métaux communs</v>
      </c>
      <c r="C9571">
        <v>7150191</v>
      </c>
      <c r="D9571">
        <v>6720</v>
      </c>
    </row>
    <row r="9572" spans="1:4" x14ac:dyDescent="0.25">
      <c r="A9572" t="str">
        <f>T("   820190")</f>
        <v xml:space="preserve">   820190</v>
      </c>
      <c r="B9572" t="s">
        <v>375</v>
      </c>
      <c r="C9572">
        <v>851994</v>
      </c>
      <c r="D9572">
        <v>12196</v>
      </c>
    </row>
    <row r="9573" spans="1:4" x14ac:dyDescent="0.25">
      <c r="A9573" t="str">
        <f>T("   820559")</f>
        <v xml:space="preserve">   820559</v>
      </c>
      <c r="B9573" t="str">
        <f>T("   Outils à main, y.c. -les diamants de vitrier-, en métaux communs, n.d.a.")</f>
        <v xml:space="preserve">   Outils à main, y.c. -les diamants de vitrier-, en métaux communs, n.d.a.</v>
      </c>
      <c r="C9573">
        <v>4705857</v>
      </c>
      <c r="D9573">
        <v>1452</v>
      </c>
    </row>
    <row r="9574" spans="1:4" x14ac:dyDescent="0.25">
      <c r="A9574" t="str">
        <f>T("   820719")</f>
        <v xml:space="preserve">   820719</v>
      </c>
      <c r="B9574"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9574">
        <v>442804</v>
      </c>
      <c r="D9574">
        <v>2200</v>
      </c>
    </row>
    <row r="9575" spans="1:4" x14ac:dyDescent="0.25">
      <c r="A9575" t="str">
        <f>T("   820890")</f>
        <v xml:space="preserve">   820890</v>
      </c>
      <c r="B9575" t="s">
        <v>377</v>
      </c>
      <c r="C9575">
        <v>103321</v>
      </c>
      <c r="D9575">
        <v>2280</v>
      </c>
    </row>
    <row r="9576" spans="1:4" x14ac:dyDescent="0.25">
      <c r="A9576" t="str">
        <f>T("   821210")</f>
        <v xml:space="preserve">   821210</v>
      </c>
      <c r="B9576" t="str">
        <f>T("   Rasoirs et rasoirs de sûreté non-électriques, en métaux communs")</f>
        <v xml:space="preserve">   Rasoirs et rasoirs de sûreté non-électriques, en métaux communs</v>
      </c>
      <c r="C9576">
        <v>21875706</v>
      </c>
      <c r="D9576">
        <v>7474</v>
      </c>
    </row>
    <row r="9577" spans="1:4" x14ac:dyDescent="0.25">
      <c r="A9577" t="str">
        <f>T("   830110")</f>
        <v xml:space="preserve">   830110</v>
      </c>
      <c r="B9577" t="str">
        <f>T("   Cadenas, en métaux communs")</f>
        <v xml:space="preserve">   Cadenas, en métaux communs</v>
      </c>
      <c r="C9577">
        <v>2508131</v>
      </c>
      <c r="D9577">
        <v>8510</v>
      </c>
    </row>
    <row r="9578" spans="1:4" x14ac:dyDescent="0.25">
      <c r="A9578" t="str">
        <f>T("   830140")</f>
        <v xml:space="preserve">   830140</v>
      </c>
      <c r="B9578"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9578">
        <v>8909230</v>
      </c>
      <c r="D9578">
        <v>32241</v>
      </c>
    </row>
    <row r="9579" spans="1:4" x14ac:dyDescent="0.25">
      <c r="A9579" t="str">
        <f>T("   830300")</f>
        <v xml:space="preserve">   830300</v>
      </c>
      <c r="B9579"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9579">
        <v>152922</v>
      </c>
      <c r="D9579">
        <v>560</v>
      </c>
    </row>
    <row r="9580" spans="1:4" x14ac:dyDescent="0.25">
      <c r="A9580" t="str">
        <f>T("   830710")</f>
        <v xml:space="preserve">   830710</v>
      </c>
      <c r="B9580" t="str">
        <f>T("   Tuyaux flexibles en fer ou en acier, même avec accessoires")</f>
        <v xml:space="preserve">   Tuyaux flexibles en fer ou en acier, même avec accessoires</v>
      </c>
      <c r="C9580">
        <v>983940</v>
      </c>
      <c r="D9580">
        <v>5300</v>
      </c>
    </row>
    <row r="9581" spans="1:4" x14ac:dyDescent="0.25">
      <c r="A9581" t="str">
        <f>T("   830910")</f>
        <v xml:space="preserve">   830910</v>
      </c>
      <c r="B9581" t="str">
        <f>T("   Bouchons-couronnes en métaux communs")</f>
        <v xml:space="preserve">   Bouchons-couronnes en métaux communs</v>
      </c>
      <c r="C9581">
        <v>2086903</v>
      </c>
      <c r="D9581">
        <v>2463</v>
      </c>
    </row>
    <row r="9582" spans="1:4" x14ac:dyDescent="0.25">
      <c r="A9582" t="str">
        <f>T("   831110")</f>
        <v xml:space="preserve">   831110</v>
      </c>
      <c r="B9582" t="str">
        <f>T("   ÉLECTRODES ENROBÉES EN MÉTAUX COMMUNS, POUR LE SOUDAGE À L'ARC")</f>
        <v xml:space="preserve">   ÉLECTRODES ENROBÉES EN MÉTAUX COMMUNS, POUR LE SOUDAGE À L'ARC</v>
      </c>
      <c r="C9582">
        <v>51328684</v>
      </c>
      <c r="D9582">
        <v>193320</v>
      </c>
    </row>
    <row r="9583" spans="1:4" x14ac:dyDescent="0.25">
      <c r="A9583" t="str">
        <f>T("   831120")</f>
        <v xml:space="preserve">   831120</v>
      </c>
      <c r="B9583" t="str">
        <f>T("   Fils fourrés en métaux communs, pour le soudage à l'arc")</f>
        <v xml:space="preserve">   Fils fourrés en métaux communs, pour le soudage à l'arc</v>
      </c>
      <c r="C9583">
        <v>10949534</v>
      </c>
      <c r="D9583">
        <v>39488</v>
      </c>
    </row>
    <row r="9584" spans="1:4" x14ac:dyDescent="0.25">
      <c r="A9584" t="str">
        <f>T("   831130")</f>
        <v xml:space="preserve">   831130</v>
      </c>
      <c r="B9584" t="s">
        <v>384</v>
      </c>
      <c r="C9584">
        <v>17822710</v>
      </c>
      <c r="D9584">
        <v>57177</v>
      </c>
    </row>
    <row r="9585" spans="1:4" x14ac:dyDescent="0.25">
      <c r="A9585" t="str">
        <f>T("   840721")</f>
        <v xml:space="preserve">   840721</v>
      </c>
      <c r="B9585" t="s">
        <v>387</v>
      </c>
      <c r="C9585">
        <v>716208</v>
      </c>
      <c r="D9585">
        <v>320</v>
      </c>
    </row>
    <row r="9586" spans="1:4" x14ac:dyDescent="0.25">
      <c r="A9586" t="str">
        <f>T("   840734")</f>
        <v xml:space="preserve">   840734</v>
      </c>
      <c r="B9586" t="s">
        <v>390</v>
      </c>
      <c r="C9586">
        <v>516606</v>
      </c>
      <c r="D9586">
        <v>1140</v>
      </c>
    </row>
    <row r="9587" spans="1:4" x14ac:dyDescent="0.25">
      <c r="A9587" t="str">
        <f>T("   840790")</f>
        <v xml:space="preserve">   840790</v>
      </c>
      <c r="B9587" t="s">
        <v>391</v>
      </c>
      <c r="C9587">
        <v>235000</v>
      </c>
      <c r="D9587">
        <v>80</v>
      </c>
    </row>
    <row r="9588" spans="1:4" x14ac:dyDescent="0.25">
      <c r="A9588" t="str">
        <f>T("   840820")</f>
        <v xml:space="preserve">   840820</v>
      </c>
      <c r="B9588" t="s">
        <v>393</v>
      </c>
      <c r="C9588">
        <v>1042804</v>
      </c>
      <c r="D9588">
        <v>2080</v>
      </c>
    </row>
    <row r="9589" spans="1:4" x14ac:dyDescent="0.25">
      <c r="A9589" t="str">
        <f>T("   840890")</f>
        <v xml:space="preserve">   840890</v>
      </c>
      <c r="B9589" t="s">
        <v>394</v>
      </c>
      <c r="C9589">
        <v>7785875</v>
      </c>
      <c r="D9589">
        <v>9353</v>
      </c>
    </row>
    <row r="9590" spans="1:4" x14ac:dyDescent="0.25">
      <c r="A9590" t="str">
        <f>T("   841229")</f>
        <v xml:space="preserve">   841229</v>
      </c>
      <c r="B9590" t="str">
        <f>T("   Moteurs hydrauliques (autres que turbines hydrauliques ou roues hydrauliques du n° 8410, turbines à vapeur et moteurs hydrauliques, à mouvement rectiligne -cylindres-)")</f>
        <v xml:space="preserve">   Moteurs hydrauliques (autres que turbines hydrauliques ou roues hydrauliques du n° 8410, turbines à vapeur et moteurs hydrauliques, à mouvement rectiligne -cylindres-)</v>
      </c>
      <c r="C9590">
        <v>214861</v>
      </c>
      <c r="D9590">
        <v>980</v>
      </c>
    </row>
    <row r="9591" spans="1:4" x14ac:dyDescent="0.25">
      <c r="A9591" t="str">
        <f>T("   841311")</f>
        <v xml:space="preserve">   841311</v>
      </c>
      <c r="B9591"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9591">
        <v>268577</v>
      </c>
      <c r="D9591">
        <v>420</v>
      </c>
    </row>
    <row r="9592" spans="1:4" x14ac:dyDescent="0.25">
      <c r="A9592" t="str">
        <f>T("   841319")</f>
        <v xml:space="preserve">   841319</v>
      </c>
      <c r="B9592"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9592">
        <v>218460</v>
      </c>
      <c r="D9592">
        <v>1740</v>
      </c>
    </row>
    <row r="9593" spans="1:4" x14ac:dyDescent="0.25">
      <c r="A9593" t="str">
        <f>T("   841320")</f>
        <v xml:space="preserve">   841320</v>
      </c>
      <c r="B9593"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9593">
        <v>89537</v>
      </c>
      <c r="D9593">
        <v>100</v>
      </c>
    </row>
    <row r="9594" spans="1:4" x14ac:dyDescent="0.25">
      <c r="A9594" t="str">
        <f>T("   841370")</f>
        <v xml:space="preserve">   841370</v>
      </c>
      <c r="B9594" t="s">
        <v>397</v>
      </c>
      <c r="C9594">
        <v>1500000</v>
      </c>
      <c r="D9594">
        <v>341</v>
      </c>
    </row>
    <row r="9595" spans="1:4" x14ac:dyDescent="0.25">
      <c r="A9595" t="str">
        <f>T("   841391")</f>
        <v xml:space="preserve">   841391</v>
      </c>
      <c r="B9595" t="str">
        <f>T("   Parties de pompes pour liquides, n.d.a.")</f>
        <v xml:space="preserve">   Parties de pompes pour liquides, n.d.a.</v>
      </c>
      <c r="C9595">
        <v>268577</v>
      </c>
      <c r="D9595">
        <v>390</v>
      </c>
    </row>
    <row r="9596" spans="1:4" x14ac:dyDescent="0.25">
      <c r="A9596" t="str">
        <f>T("   841420")</f>
        <v xml:space="preserve">   841420</v>
      </c>
      <c r="B9596" t="str">
        <f>T("   Pompes à air, à main ou à pied")</f>
        <v xml:space="preserve">   Pompes à air, à main ou à pied</v>
      </c>
      <c r="C9596">
        <v>163845</v>
      </c>
      <c r="D9596">
        <v>290</v>
      </c>
    </row>
    <row r="9597" spans="1:4" x14ac:dyDescent="0.25">
      <c r="A9597" t="str">
        <f>T("   841430")</f>
        <v xml:space="preserve">   841430</v>
      </c>
      <c r="B9597" t="str">
        <f>T("   Compresseurs des types utilisés pour équipements frigorifiques")</f>
        <v xml:space="preserve">   Compresseurs des types utilisés pour équipements frigorifiques</v>
      </c>
      <c r="C9597">
        <v>281162</v>
      </c>
      <c r="D9597">
        <v>785</v>
      </c>
    </row>
    <row r="9598" spans="1:4" x14ac:dyDescent="0.25">
      <c r="A9598" t="str">
        <f>T("   841440")</f>
        <v xml:space="preserve">   841440</v>
      </c>
      <c r="B9598" t="str">
        <f>T("   Compresseurs d'air montés sur châssis à roues et remorquables")</f>
        <v xml:space="preserve">   Compresseurs d'air montés sur châssis à roues et remorquables</v>
      </c>
      <c r="C9598">
        <v>5674712</v>
      </c>
      <c r="D9598">
        <v>1100</v>
      </c>
    </row>
    <row r="9599" spans="1:4" x14ac:dyDescent="0.25">
      <c r="A9599" t="str">
        <f>T("   841451")</f>
        <v xml:space="preserve">   841451</v>
      </c>
      <c r="B9599"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9599">
        <v>8901316</v>
      </c>
      <c r="D9599">
        <v>29052</v>
      </c>
    </row>
    <row r="9600" spans="1:4" x14ac:dyDescent="0.25">
      <c r="A9600" t="str">
        <f>T("   841459")</f>
        <v xml:space="preserve">   841459</v>
      </c>
      <c r="B9600"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9600">
        <v>2000000</v>
      </c>
      <c r="D9600">
        <v>8930</v>
      </c>
    </row>
    <row r="9601" spans="1:4" x14ac:dyDescent="0.25">
      <c r="A9601" t="str">
        <f>T("   841480")</f>
        <v xml:space="preserve">   841480</v>
      </c>
      <c r="B9601" t="s">
        <v>399</v>
      </c>
      <c r="C9601">
        <v>299379</v>
      </c>
      <c r="D9601">
        <v>277</v>
      </c>
    </row>
    <row r="9602" spans="1:4" x14ac:dyDescent="0.25">
      <c r="A9602" t="str">
        <f>T("   841510")</f>
        <v xml:space="preserve">   841510</v>
      </c>
      <c r="B9602" t="s">
        <v>400</v>
      </c>
      <c r="C9602">
        <v>1413412</v>
      </c>
      <c r="D9602">
        <v>3715</v>
      </c>
    </row>
    <row r="9603" spans="1:4" x14ac:dyDescent="0.25">
      <c r="A9603" t="str">
        <f>T("   841620")</f>
        <v xml:space="preserve">   841620</v>
      </c>
      <c r="B9603" t="str">
        <f>T("   Brûleurs pour l'alimentation des foyers à combustibles solides pulvérisés ou à gaz, y.c. les brûleurs mixtes")</f>
        <v xml:space="preserve">   Brûleurs pour l'alimentation des foyers à combustibles solides pulvérisés ou à gaz, y.c. les brûleurs mixtes</v>
      </c>
      <c r="C9603">
        <v>179051</v>
      </c>
      <c r="D9603">
        <v>140</v>
      </c>
    </row>
    <row r="9604" spans="1:4" x14ac:dyDescent="0.25">
      <c r="A9604" t="str">
        <f>T("   841720")</f>
        <v xml:space="preserve">   841720</v>
      </c>
      <c r="B9604" t="str">
        <f>T("   Fours non-électriques, de boulangerie, de pâtisserie ou de biscuiterie")</f>
        <v xml:space="preserve">   Fours non-électriques, de boulangerie, de pâtisserie ou de biscuiterie</v>
      </c>
      <c r="C9604">
        <v>10500000</v>
      </c>
      <c r="D9604">
        <v>48540</v>
      </c>
    </row>
    <row r="9605" spans="1:4" x14ac:dyDescent="0.25">
      <c r="A9605" t="str">
        <f>T("   841780")</f>
        <v xml:space="preserve">   841780</v>
      </c>
      <c r="B9605" t="s">
        <v>403</v>
      </c>
      <c r="C9605">
        <v>214860</v>
      </c>
      <c r="D9605">
        <v>7300</v>
      </c>
    </row>
    <row r="9606" spans="1:4" x14ac:dyDescent="0.25">
      <c r="A9606" t="str">
        <f>T("   841790")</f>
        <v xml:space="preserve">   841790</v>
      </c>
      <c r="B9606" t="str">
        <f>T("   Parties de fours industriels ou de laboratoire non-électriques, y.c. d'incinérateurs, n.d.a.")</f>
        <v xml:space="preserve">   Parties de fours industriels ou de laboratoire non-électriques, y.c. d'incinérateurs, n.d.a.</v>
      </c>
      <c r="C9606">
        <v>179051</v>
      </c>
      <c r="D9606">
        <v>120</v>
      </c>
    </row>
    <row r="9607" spans="1:4" x14ac:dyDescent="0.25">
      <c r="A9607" t="str">
        <f>T("   841810")</f>
        <v xml:space="preserve">   841810</v>
      </c>
      <c r="B9607" t="str">
        <f>T("   Réfrigérateurs et congélateurs-conservateurs combinés, avec portes extérieures séparées")</f>
        <v xml:space="preserve">   Réfrigérateurs et congélateurs-conservateurs combinés, avec portes extérieures séparées</v>
      </c>
      <c r="C9607">
        <v>2427028</v>
      </c>
      <c r="D9607">
        <v>2800</v>
      </c>
    </row>
    <row r="9608" spans="1:4" x14ac:dyDescent="0.25">
      <c r="A9608" t="str">
        <f>T("   841821")</f>
        <v xml:space="preserve">   841821</v>
      </c>
      <c r="B9608" t="str">
        <f>T("   Réfrigérateurs ménagers à compression")</f>
        <v xml:space="preserve">   Réfrigérateurs ménagers à compression</v>
      </c>
      <c r="C9608">
        <v>755871</v>
      </c>
      <c r="D9608">
        <v>2988</v>
      </c>
    </row>
    <row r="9609" spans="1:4" x14ac:dyDescent="0.25">
      <c r="A9609" t="str">
        <f>T("   841829")</f>
        <v xml:space="preserve">   841829</v>
      </c>
      <c r="B9609" t="str">
        <f>T("   Réfrigérateurs ménagers à absorption, non-électriques")</f>
        <v xml:space="preserve">   Réfrigérateurs ménagers à absorption, non-électriques</v>
      </c>
      <c r="C9609">
        <v>1762152</v>
      </c>
      <c r="D9609">
        <v>2480</v>
      </c>
    </row>
    <row r="9610" spans="1:4" x14ac:dyDescent="0.25">
      <c r="A9610" t="str">
        <f>T("   841869")</f>
        <v xml:space="preserve">   841869</v>
      </c>
      <c r="B9610"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9610">
        <v>372857</v>
      </c>
      <c r="D9610">
        <v>5882</v>
      </c>
    </row>
    <row r="9611" spans="1:4" x14ac:dyDescent="0.25">
      <c r="A9611" t="str">
        <f>T("   841899")</f>
        <v xml:space="preserve">   841899</v>
      </c>
      <c r="B9611"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9611">
        <v>14458251</v>
      </c>
      <c r="D9611">
        <v>8100</v>
      </c>
    </row>
    <row r="9612" spans="1:4" x14ac:dyDescent="0.25">
      <c r="A9612" t="str">
        <f>T("   841911")</f>
        <v xml:space="preserve">   841911</v>
      </c>
      <c r="B9612" t="str">
        <f>T("   Chauffe-eau à chauffage instantané, à gaz (à l'excl. des chaudières ou générateurs mixtes pour chauffage central)")</f>
        <v xml:space="preserve">   Chauffe-eau à chauffage instantané, à gaz (à l'excl. des chaudières ou générateurs mixtes pour chauffage central)</v>
      </c>
      <c r="C9612">
        <v>1000000</v>
      </c>
      <c r="D9612">
        <v>2380</v>
      </c>
    </row>
    <row r="9613" spans="1:4" x14ac:dyDescent="0.25">
      <c r="A9613" t="str">
        <f>T("   842010")</f>
        <v xml:space="preserve">   842010</v>
      </c>
      <c r="B9613" t="str">
        <f>T("   Calandres et laminoirs (autres que pour les métaux ou le verre)")</f>
        <v xml:space="preserve">   Calandres et laminoirs (autres que pour les métaux ou le verre)</v>
      </c>
      <c r="C9613">
        <v>118081</v>
      </c>
      <c r="D9613">
        <v>450</v>
      </c>
    </row>
    <row r="9614" spans="1:4" x14ac:dyDescent="0.25">
      <c r="A9614" t="str">
        <f>T("   842121")</f>
        <v xml:space="preserve">   842121</v>
      </c>
      <c r="B9614" t="str">
        <f>T("   Appareils pour la filtration ou l'épuration des eaux")</f>
        <v xml:space="preserve">   Appareils pour la filtration ou l'épuration des eaux</v>
      </c>
      <c r="C9614">
        <v>877351</v>
      </c>
      <c r="D9614">
        <v>1510</v>
      </c>
    </row>
    <row r="9615" spans="1:4" x14ac:dyDescent="0.25">
      <c r="A9615" t="str">
        <f>T("   842123")</f>
        <v xml:space="preserve">   842123</v>
      </c>
      <c r="B9615"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9615">
        <v>1923008</v>
      </c>
      <c r="D9615">
        <v>700</v>
      </c>
    </row>
    <row r="9616" spans="1:4" x14ac:dyDescent="0.25">
      <c r="A9616" t="str">
        <f>T("   842129")</f>
        <v xml:space="preserve">   842129</v>
      </c>
      <c r="B9616"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9616">
        <v>769919</v>
      </c>
      <c r="D9616">
        <v>286</v>
      </c>
    </row>
    <row r="9617" spans="1:4" x14ac:dyDescent="0.25">
      <c r="A9617" t="str">
        <f>T("   842219")</f>
        <v xml:space="preserve">   842219</v>
      </c>
      <c r="B9617" t="str">
        <f>T("   Machines à laver la vaisselle (autres que de type ménager)")</f>
        <v xml:space="preserve">   Machines à laver la vaisselle (autres que de type ménager)</v>
      </c>
      <c r="C9617">
        <v>679051</v>
      </c>
      <c r="D9617">
        <v>131</v>
      </c>
    </row>
    <row r="9618" spans="1:4" x14ac:dyDescent="0.25">
      <c r="A9618" t="str">
        <f>T("   842290")</f>
        <v xml:space="preserve">   842290</v>
      </c>
      <c r="B9618"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9618">
        <v>67109000</v>
      </c>
      <c r="D9618">
        <v>48600</v>
      </c>
    </row>
    <row r="9619" spans="1:4" x14ac:dyDescent="0.25">
      <c r="A9619" t="str">
        <f>T("   842310")</f>
        <v xml:space="preserve">   842310</v>
      </c>
      <c r="B9619" t="str">
        <f>T("   Pèse-personnes, y.c. les pèse-bébés; balances de ménage")</f>
        <v xml:space="preserve">   Pèse-personnes, y.c. les pèse-bébés; balances de ménage</v>
      </c>
      <c r="C9619">
        <v>429722</v>
      </c>
      <c r="D9619">
        <v>120</v>
      </c>
    </row>
    <row r="9620" spans="1:4" x14ac:dyDescent="0.25">
      <c r="A9620" t="str">
        <f>T("   842481")</f>
        <v xml:space="preserve">   842481</v>
      </c>
      <c r="B9620"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9620">
        <v>876440</v>
      </c>
      <c r="D9620">
        <v>516</v>
      </c>
    </row>
    <row r="9621" spans="1:4" x14ac:dyDescent="0.25">
      <c r="A9621" t="str">
        <f>T("   842519")</f>
        <v xml:space="preserve">   842519</v>
      </c>
      <c r="B9621" t="str">
        <f>T("   Palans autres qu'à moteur électrique")</f>
        <v xml:space="preserve">   Palans autres qu'à moteur électrique</v>
      </c>
      <c r="C9621">
        <v>81339</v>
      </c>
      <c r="D9621">
        <v>15</v>
      </c>
    </row>
    <row r="9622" spans="1:4" x14ac:dyDescent="0.25">
      <c r="A9622" t="str">
        <f>T("   842542")</f>
        <v xml:space="preserve">   842542</v>
      </c>
      <c r="B9622" t="str">
        <f>T("   Crics et vérins, hydrauliques (sauf élévateurs fixes des types utilisés dans les garages pour voitures)")</f>
        <v xml:space="preserve">   Crics et vérins, hydrauliques (sauf élévateurs fixes des types utilisés dans les garages pour voitures)</v>
      </c>
      <c r="C9622">
        <v>61004</v>
      </c>
      <c r="D9622">
        <v>12</v>
      </c>
    </row>
    <row r="9623" spans="1:4" x14ac:dyDescent="0.25">
      <c r="A9623" t="str">
        <f>T("   842790")</f>
        <v xml:space="preserve">   842790</v>
      </c>
      <c r="B9623" t="str">
        <f>T("   Chariots de manutention munis d'un dispositif de levage mais non autopropulsés")</f>
        <v xml:space="preserve">   Chariots de manutention munis d'un dispositif de levage mais non autopropulsés</v>
      </c>
      <c r="C9623">
        <v>165302</v>
      </c>
      <c r="D9623">
        <v>31</v>
      </c>
    </row>
    <row r="9624" spans="1:4" x14ac:dyDescent="0.25">
      <c r="A9624" t="str">
        <f>T("   842810")</f>
        <v xml:space="preserve">   842810</v>
      </c>
      <c r="B9624" t="str">
        <f>T("   Ascenseurs et monte-charge")</f>
        <v xml:space="preserve">   Ascenseurs et monte-charge</v>
      </c>
      <c r="C9624">
        <v>16563007</v>
      </c>
      <c r="D9624">
        <v>4272</v>
      </c>
    </row>
    <row r="9625" spans="1:4" x14ac:dyDescent="0.25">
      <c r="A9625" t="str">
        <f>T("   842911")</f>
        <v xml:space="preserve">   842911</v>
      </c>
      <c r="B9625" t="str">
        <f>T("   Bouteurs 'bulldozers' et bouteurs biais 'angledozers', à chenilles")</f>
        <v xml:space="preserve">   Bouteurs 'bulldozers' et bouteurs biais 'angledozers', à chenilles</v>
      </c>
      <c r="C9625">
        <v>15000000</v>
      </c>
      <c r="D9625">
        <v>25700</v>
      </c>
    </row>
    <row r="9626" spans="1:4" x14ac:dyDescent="0.25">
      <c r="A9626" t="str">
        <f>T("   842919")</f>
        <v xml:space="preserve">   842919</v>
      </c>
      <c r="B9626" t="str">
        <f>T("   Bouteurs 'bulldozers' et bouteurs biais 'angledozers', sur roues")</f>
        <v xml:space="preserve">   Bouteurs 'bulldozers' et bouteurs biais 'angledozers', sur roues</v>
      </c>
      <c r="C9626">
        <v>6000000</v>
      </c>
      <c r="D9626">
        <v>20000</v>
      </c>
    </row>
    <row r="9627" spans="1:4" x14ac:dyDescent="0.25">
      <c r="A9627" t="str">
        <f>T("   842920")</f>
        <v xml:space="preserve">   842920</v>
      </c>
      <c r="B9627" t="str">
        <f>T("   Niveleuses autopropulsées")</f>
        <v xml:space="preserve">   Niveleuses autopropulsées</v>
      </c>
      <c r="C9627">
        <v>156899608</v>
      </c>
      <c r="D9627">
        <v>109900</v>
      </c>
    </row>
    <row r="9628" spans="1:4" x14ac:dyDescent="0.25">
      <c r="A9628" t="str">
        <f>T("   842940")</f>
        <v xml:space="preserve">   842940</v>
      </c>
      <c r="B9628" t="str">
        <f>T("   Rouleaux compresseurs et autres compacteuses, autopropulsés")</f>
        <v xml:space="preserve">   Rouleaux compresseurs et autres compacteuses, autopropulsés</v>
      </c>
      <c r="C9628">
        <v>8506714</v>
      </c>
      <c r="D9628">
        <v>12660</v>
      </c>
    </row>
    <row r="9629" spans="1:4" x14ac:dyDescent="0.25">
      <c r="A9629" t="str">
        <f>T("   842951")</f>
        <v xml:space="preserve">   842951</v>
      </c>
      <c r="B9629" t="str">
        <f>T("   Chargeuses et chargeuses-pelleteuses, à chargement frontal, autopropulsées")</f>
        <v xml:space="preserve">   Chargeuses et chargeuses-pelleteuses, à chargement frontal, autopropulsées</v>
      </c>
      <c r="C9629">
        <v>15178890</v>
      </c>
      <c r="D9629">
        <v>82030</v>
      </c>
    </row>
    <row r="9630" spans="1:4" x14ac:dyDescent="0.25">
      <c r="A9630" t="str">
        <f>T("   842959")</f>
        <v xml:space="preserve">   842959</v>
      </c>
      <c r="B9630"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9630">
        <v>8000000</v>
      </c>
      <c r="D9630">
        <v>17500</v>
      </c>
    </row>
    <row r="9631" spans="1:4" x14ac:dyDescent="0.25">
      <c r="A9631" t="str">
        <f>T("   843069")</f>
        <v xml:space="preserve">   843069</v>
      </c>
      <c r="B9631"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9631">
        <v>68547050</v>
      </c>
      <c r="D9631">
        <v>23400</v>
      </c>
    </row>
    <row r="9632" spans="1:4" x14ac:dyDescent="0.25">
      <c r="A9632" t="str">
        <f>T("   843149")</f>
        <v xml:space="preserve">   843149</v>
      </c>
      <c r="B9632" t="str">
        <f>T("   Parties de machines et appareils du n° 8426, 8429 ou 8430, n.d.a.")</f>
        <v xml:space="preserve">   Parties de machines et appareils du n° 8426, 8429 ou 8430, n.d.a.</v>
      </c>
      <c r="C9632">
        <v>10000022</v>
      </c>
      <c r="D9632">
        <v>18000</v>
      </c>
    </row>
    <row r="9633" spans="1:4" x14ac:dyDescent="0.25">
      <c r="A9633" t="str">
        <f>T("   844230")</f>
        <v xml:space="preserve">   844230</v>
      </c>
      <c r="B9633" t="s">
        <v>419</v>
      </c>
      <c r="C9633">
        <v>358102</v>
      </c>
      <c r="D9633">
        <v>380</v>
      </c>
    </row>
    <row r="9634" spans="1:4" x14ac:dyDescent="0.25">
      <c r="A9634" t="str">
        <f>T("   844359")</f>
        <v xml:space="preserve">   844359</v>
      </c>
      <c r="B9634" t="s">
        <v>421</v>
      </c>
      <c r="C9634">
        <v>14000000</v>
      </c>
      <c r="D9634">
        <v>30068</v>
      </c>
    </row>
    <row r="9635" spans="1:4" x14ac:dyDescent="0.25">
      <c r="A9635" t="str">
        <f>T("   844390")</f>
        <v xml:space="preserve">   844390</v>
      </c>
      <c r="B9635" t="str">
        <f>T("   Parties de machines et appareils à imprimer et de leur machines et appareils auxiliaires, n.d.a.")</f>
        <v xml:space="preserve">   Parties de machines et appareils à imprimer et de leur machines et appareils auxiliaires, n.d.a.</v>
      </c>
      <c r="C9635">
        <v>895255</v>
      </c>
      <c r="D9635">
        <v>940</v>
      </c>
    </row>
    <row r="9636" spans="1:4" x14ac:dyDescent="0.25">
      <c r="A9636" t="str">
        <f>T("   844790")</f>
        <v xml:space="preserve">   844790</v>
      </c>
      <c r="B9636" t="str">
        <f>T("   Machines et métiers à guipure, à tulle, à dentelle, à broderie, à passementerie, à tresses, à filet ou à touffeter (sauf couso-brodeurs)")</f>
        <v xml:space="preserve">   Machines et métiers à guipure, à tulle, à dentelle, à broderie, à passementerie, à tresses, à filet ou à touffeter (sauf couso-brodeurs)</v>
      </c>
      <c r="C9636">
        <v>200000</v>
      </c>
      <c r="D9636">
        <v>2000</v>
      </c>
    </row>
    <row r="9637" spans="1:4" x14ac:dyDescent="0.25">
      <c r="A9637" t="str">
        <f>T("   845020")</f>
        <v xml:space="preserve">   845020</v>
      </c>
      <c r="B9637" t="str">
        <f>T("   Machines à laver le linge, capacité unitaire en poids de linge sec &gt; 10 kg")</f>
        <v xml:space="preserve">   Machines à laver le linge, capacité unitaire en poids de linge sec &gt; 10 kg</v>
      </c>
      <c r="C9637">
        <v>886327</v>
      </c>
      <c r="D9637">
        <v>522</v>
      </c>
    </row>
    <row r="9638" spans="1:4" x14ac:dyDescent="0.25">
      <c r="A9638" t="str">
        <f>T("   845180")</f>
        <v xml:space="preserve">   845180</v>
      </c>
      <c r="B9638" t="s">
        <v>423</v>
      </c>
      <c r="C9638">
        <v>250671</v>
      </c>
      <c r="D9638">
        <v>100</v>
      </c>
    </row>
    <row r="9639" spans="1:4" x14ac:dyDescent="0.25">
      <c r="A9639" t="str">
        <f>T("   846090")</f>
        <v xml:space="preserve">   846090</v>
      </c>
      <c r="B9639" t="s">
        <v>428</v>
      </c>
      <c r="C9639">
        <v>179077</v>
      </c>
      <c r="D9639">
        <v>34</v>
      </c>
    </row>
    <row r="9640" spans="1:4" x14ac:dyDescent="0.25">
      <c r="A9640" t="str">
        <f>T("   846120")</f>
        <v xml:space="preserve">   846120</v>
      </c>
      <c r="B9640" t="str">
        <f>T("   Etaux-limeurs et machines à mortaiser, pour le travail des métaux")</f>
        <v xml:space="preserve">   Etaux-limeurs et machines à mortaiser, pour le travail des métaux</v>
      </c>
      <c r="C9640">
        <v>46573</v>
      </c>
      <c r="D9640">
        <v>9</v>
      </c>
    </row>
    <row r="9641" spans="1:4" x14ac:dyDescent="0.25">
      <c r="A9641" t="str">
        <f>T("   846390")</f>
        <v xml:space="preserve">   846390</v>
      </c>
      <c r="B9641" t="s">
        <v>429</v>
      </c>
      <c r="C9641">
        <v>195476</v>
      </c>
      <c r="D9641">
        <v>37</v>
      </c>
    </row>
    <row r="9642" spans="1:4" x14ac:dyDescent="0.25">
      <c r="A9642" t="str">
        <f>T("   846510")</f>
        <v xml:space="preserve">   846510</v>
      </c>
      <c r="B9642" t="str">
        <f>T("   Machines-outils pour le travail du bois, des matières plastiques dures, etc. pouvant effectuer différents types d'opérations d'usinage, sans changement d'outils entre ces opérations")</f>
        <v xml:space="preserve">   Machines-outils pour le travail du bois, des matières plastiques dures, etc. pouvant effectuer différents types d'opérations d'usinage, sans changement d'outils entre ces opérations</v>
      </c>
      <c r="C9642">
        <v>3000000</v>
      </c>
      <c r="D9642">
        <v>4320</v>
      </c>
    </row>
    <row r="9643" spans="1:4" x14ac:dyDescent="0.25">
      <c r="A9643" t="str">
        <f>T("   846789")</f>
        <v xml:space="preserve">   846789</v>
      </c>
      <c r="B9643"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9643">
        <v>125336</v>
      </c>
      <c r="D9643">
        <v>800</v>
      </c>
    </row>
    <row r="9644" spans="1:4" x14ac:dyDescent="0.25">
      <c r="A9644" t="str">
        <f>T("   846810")</f>
        <v xml:space="preserve">   846810</v>
      </c>
      <c r="B9644" t="str">
        <f>T("   Chalumeaux guidés à la main pour le brasage ou le soudage aux gaz")</f>
        <v xml:space="preserve">   Chalumeaux guidés à la main pour le brasage ou le soudage aux gaz</v>
      </c>
      <c r="C9644">
        <v>4434290</v>
      </c>
      <c r="D9644">
        <v>26</v>
      </c>
    </row>
    <row r="9645" spans="1:4" x14ac:dyDescent="0.25">
      <c r="A9645" t="str">
        <f>T("   847010")</f>
        <v xml:space="preserve">   847010</v>
      </c>
      <c r="B9645" t="s">
        <v>433</v>
      </c>
      <c r="C9645">
        <v>764610</v>
      </c>
      <c r="D9645">
        <v>2740</v>
      </c>
    </row>
    <row r="9646" spans="1:4" x14ac:dyDescent="0.25">
      <c r="A9646" t="str">
        <f>T("   847110")</f>
        <v xml:space="preserve">   847110</v>
      </c>
      <c r="B9646" t="str">
        <f>T("   Machines automatiques de traitement de l'information, analogiques ou hybrides")</f>
        <v xml:space="preserve">   Machines automatiques de traitement de l'information, analogiques ou hybrides</v>
      </c>
      <c r="C9646">
        <v>747051</v>
      </c>
      <c r="D9646">
        <v>525</v>
      </c>
    </row>
    <row r="9647" spans="1:4" x14ac:dyDescent="0.25">
      <c r="A9647" t="str">
        <f>T("   847190")</f>
        <v xml:space="preserve">   847190</v>
      </c>
      <c r="B964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647">
        <v>41370381</v>
      </c>
      <c r="D9647">
        <v>16960</v>
      </c>
    </row>
    <row r="9648" spans="1:4" x14ac:dyDescent="0.25">
      <c r="A9648" t="str">
        <f>T("   847330")</f>
        <v xml:space="preserve">   847330</v>
      </c>
      <c r="B9648" t="str">
        <f>T("   Parties et accessoires pour machines automatiques de traitement de l'information ou pour autres machines du n° 8471, n.d.a.")</f>
        <v xml:space="preserve">   Parties et accessoires pour machines automatiques de traitement de l'information ou pour autres machines du n° 8471, n.d.a.</v>
      </c>
      <c r="C9648">
        <v>634483</v>
      </c>
      <c r="D9648">
        <v>235</v>
      </c>
    </row>
    <row r="9649" spans="1:4" x14ac:dyDescent="0.25">
      <c r="A9649" t="str">
        <f>T("   847431")</f>
        <v xml:space="preserve">   847431</v>
      </c>
      <c r="B9649"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9649">
        <v>700000</v>
      </c>
      <c r="D9649">
        <v>1600</v>
      </c>
    </row>
    <row r="9650" spans="1:4" x14ac:dyDescent="0.25">
      <c r="A9650" t="str">
        <f>T("   847439")</f>
        <v xml:space="preserve">   847439</v>
      </c>
      <c r="B9650"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9650">
        <v>788963</v>
      </c>
      <c r="D9650">
        <v>420</v>
      </c>
    </row>
    <row r="9651" spans="1:4" x14ac:dyDescent="0.25">
      <c r="A9651" t="str">
        <f>T("   847480")</f>
        <v xml:space="preserve">   847480</v>
      </c>
      <c r="B9651" t="s">
        <v>437</v>
      </c>
      <c r="C9651">
        <v>350939</v>
      </c>
      <c r="D9651">
        <v>56</v>
      </c>
    </row>
    <row r="9652" spans="1:4" x14ac:dyDescent="0.25">
      <c r="A9652" t="str">
        <f>T("   847490")</f>
        <v xml:space="preserve">   847490</v>
      </c>
      <c r="B9652" t="str">
        <f>T("   Parties des machines et appareils pour le travail des matières minérales du n° 8474, n.d.a.")</f>
        <v xml:space="preserve">   Parties des machines et appareils pour le travail des matières minérales du n° 8474, n.d.a.</v>
      </c>
      <c r="C9652">
        <v>8135467</v>
      </c>
      <c r="D9652">
        <v>6892</v>
      </c>
    </row>
    <row r="9653" spans="1:4" x14ac:dyDescent="0.25">
      <c r="A9653" t="str">
        <f>T("   847981")</f>
        <v xml:space="preserve">   847981</v>
      </c>
      <c r="B9653" t="s">
        <v>440</v>
      </c>
      <c r="C9653">
        <v>206392</v>
      </c>
      <c r="D9653">
        <v>1500</v>
      </c>
    </row>
    <row r="9654" spans="1:4" x14ac:dyDescent="0.25">
      <c r="A9654" t="str">
        <f>T("   847989")</f>
        <v xml:space="preserve">   847989</v>
      </c>
      <c r="B9654" t="str">
        <f>T("   Machines et appareils, y.c. les appareils mécaniques, n.d.a.")</f>
        <v xml:space="preserve">   Machines et appareils, y.c. les appareils mécaniques, n.d.a.</v>
      </c>
      <c r="C9654">
        <v>607341</v>
      </c>
      <c r="D9654">
        <v>350</v>
      </c>
    </row>
    <row r="9655" spans="1:4" x14ac:dyDescent="0.25">
      <c r="A9655" t="str">
        <f>T("   848180")</f>
        <v xml:space="preserve">   848180</v>
      </c>
      <c r="B9655"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9655">
        <v>1910405</v>
      </c>
      <c r="D9655">
        <v>3042</v>
      </c>
    </row>
    <row r="9656" spans="1:4" x14ac:dyDescent="0.25">
      <c r="A9656" t="str">
        <f>T("   848280")</f>
        <v xml:space="preserve">   848280</v>
      </c>
      <c r="B9656" t="s">
        <v>442</v>
      </c>
      <c r="C9656">
        <v>1358240</v>
      </c>
      <c r="D9656">
        <v>91.63</v>
      </c>
    </row>
    <row r="9657" spans="1:4" x14ac:dyDescent="0.25">
      <c r="A9657" t="str">
        <f>T("   848490")</f>
        <v xml:space="preserve">   848490</v>
      </c>
      <c r="B9657" t="str">
        <f>T("   Jeux ou assortiments de joints de composition différente présentés en pochettes, enveloppes ou emballages analogues")</f>
        <v xml:space="preserve">   Jeux ou assortiments de joints de composition différente présentés en pochettes, enveloppes ou emballages analogues</v>
      </c>
      <c r="C9657">
        <v>2020753</v>
      </c>
      <c r="D9657">
        <v>938</v>
      </c>
    </row>
    <row r="9658" spans="1:4" x14ac:dyDescent="0.25">
      <c r="A9658" t="str">
        <f>T("   850132")</f>
        <v xml:space="preserve">   850132</v>
      </c>
      <c r="B9658" t="str">
        <f>T("   Moteurs et génératrices à courant continu, puissance &gt; 750 W mais &lt;= 75 kW")</f>
        <v xml:space="preserve">   Moteurs et génératrices à courant continu, puissance &gt; 750 W mais &lt;= 75 kW</v>
      </c>
      <c r="C9658">
        <v>35810</v>
      </c>
      <c r="D9658">
        <v>60</v>
      </c>
    </row>
    <row r="9659" spans="1:4" x14ac:dyDescent="0.25">
      <c r="A9659" t="str">
        <f>T("   850211")</f>
        <v xml:space="preserve">   850211</v>
      </c>
      <c r="B9659" t="s">
        <v>444</v>
      </c>
      <c r="C9659">
        <v>43468562</v>
      </c>
      <c r="D9659">
        <v>10184.5</v>
      </c>
    </row>
    <row r="9660" spans="1:4" x14ac:dyDescent="0.25">
      <c r="A9660" t="str">
        <f>T("   850212")</f>
        <v xml:space="preserve">   850212</v>
      </c>
      <c r="B9660"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9660">
        <v>29868891</v>
      </c>
      <c r="D9660">
        <v>4200</v>
      </c>
    </row>
    <row r="9661" spans="1:4" x14ac:dyDescent="0.25">
      <c r="A9661" t="str">
        <f>T("   850220")</f>
        <v xml:space="preserve">   850220</v>
      </c>
      <c r="B9661" t="s">
        <v>446</v>
      </c>
      <c r="C9661">
        <v>1253357</v>
      </c>
      <c r="D9661">
        <v>1260</v>
      </c>
    </row>
    <row r="9662" spans="1:4" x14ac:dyDescent="0.25">
      <c r="A9662" t="str">
        <f>T("   850239")</f>
        <v xml:space="preserve">   850239</v>
      </c>
      <c r="B9662" t="str">
        <f>T("   Groupes électrogènes (autres qu'à énergie éolienne et à moteurs à piston)")</f>
        <v xml:space="preserve">   Groupes électrogènes (autres qu'à énergie éolienne et à moteurs à piston)</v>
      </c>
      <c r="C9662">
        <v>1574306</v>
      </c>
      <c r="D9662">
        <v>5600</v>
      </c>
    </row>
    <row r="9663" spans="1:4" x14ac:dyDescent="0.25">
      <c r="A9663" t="str">
        <f>T("   850432")</f>
        <v xml:space="preserve">   850432</v>
      </c>
      <c r="B9663" t="str">
        <f>T("   Transformateurs à sec, puissance &gt; 1 kVA mais &lt;= 16 kVA")</f>
        <v xml:space="preserve">   Transformateurs à sec, puissance &gt; 1 kVA mais &lt;= 16 kVA</v>
      </c>
      <c r="C9663">
        <v>3700000</v>
      </c>
      <c r="D9663">
        <v>4644</v>
      </c>
    </row>
    <row r="9664" spans="1:4" x14ac:dyDescent="0.25">
      <c r="A9664" t="str">
        <f>T("   850433")</f>
        <v xml:space="preserve">   850433</v>
      </c>
      <c r="B9664" t="str">
        <f>T("   Transformateurs à sec, puissance &gt; 16 kVA mais &lt;= 500 kVA")</f>
        <v xml:space="preserve">   Transformateurs à sec, puissance &gt; 16 kVA mais &lt;= 500 kVA</v>
      </c>
      <c r="C9664">
        <v>14000000</v>
      </c>
      <c r="D9664">
        <v>4420</v>
      </c>
    </row>
    <row r="9665" spans="1:4" x14ac:dyDescent="0.25">
      <c r="A9665" t="str">
        <f>T("   850440")</f>
        <v xml:space="preserve">   850440</v>
      </c>
      <c r="B9665" t="str">
        <f>T("   CONVERTISSEURS STATIQUES")</f>
        <v xml:space="preserve">   CONVERTISSEURS STATIQUES</v>
      </c>
      <c r="C9665">
        <v>17237434</v>
      </c>
      <c r="D9665">
        <v>13314</v>
      </c>
    </row>
    <row r="9666" spans="1:4" x14ac:dyDescent="0.25">
      <c r="A9666" t="str">
        <f>T("   850610")</f>
        <v xml:space="preserve">   850610</v>
      </c>
      <c r="B9666" t="str">
        <f>T("   Piles et batteries de piles électriques, au bioxyde de manganèse (sauf hors d'usage)")</f>
        <v xml:space="preserve">   Piles et batteries de piles électriques, au bioxyde de manganèse (sauf hors d'usage)</v>
      </c>
      <c r="C9666">
        <v>126394573</v>
      </c>
      <c r="D9666">
        <v>626819.4</v>
      </c>
    </row>
    <row r="9667" spans="1:4" x14ac:dyDescent="0.25">
      <c r="A9667" t="str">
        <f>T("   850680")</f>
        <v xml:space="preserve">   850680</v>
      </c>
      <c r="B9667"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9667">
        <v>19168344</v>
      </c>
      <c r="D9667">
        <v>162074</v>
      </c>
    </row>
    <row r="9668" spans="1:4" x14ac:dyDescent="0.25">
      <c r="A9668" t="str">
        <f>T("   850710")</f>
        <v xml:space="preserve">   850710</v>
      </c>
      <c r="B9668" t="str">
        <f>T("   Accumulateurs au plomb, pour le démarrage des moteurs à piston (sauf hors d'usage)")</f>
        <v xml:space="preserve">   Accumulateurs au plomb, pour le démarrage des moteurs à piston (sauf hors d'usage)</v>
      </c>
      <c r="C9668">
        <v>984738</v>
      </c>
      <c r="D9668">
        <v>864</v>
      </c>
    </row>
    <row r="9669" spans="1:4" x14ac:dyDescent="0.25">
      <c r="A9669" t="str">
        <f>T("   850720")</f>
        <v xml:space="preserve">   850720</v>
      </c>
      <c r="B9669" t="str">
        <f>T("   Accumulateurs au plomb (sauf hors d'usage et autres que pour le démarrage des moteurs à piston)")</f>
        <v xml:space="preserve">   Accumulateurs au plomb (sauf hors d'usage et autres que pour le démarrage des moteurs à piston)</v>
      </c>
      <c r="C9669">
        <v>500000</v>
      </c>
      <c r="D9669">
        <v>200</v>
      </c>
    </row>
    <row r="9670" spans="1:4" x14ac:dyDescent="0.25">
      <c r="A9670" t="str">
        <f>T("   850980")</f>
        <v xml:space="preserve">   850980</v>
      </c>
      <c r="B9670" t="s">
        <v>447</v>
      </c>
      <c r="C9670">
        <v>54615</v>
      </c>
      <c r="D9670">
        <v>15</v>
      </c>
    </row>
    <row r="9671" spans="1:4" x14ac:dyDescent="0.25">
      <c r="A9671" t="str">
        <f>T("   851120")</f>
        <v xml:space="preserve">   851120</v>
      </c>
      <c r="B9671" t="str">
        <f>T("   Magnétos, dynamos-magnétos, volants magnétiques, pour moteurs à allumage par étincelles ou par compression")</f>
        <v xml:space="preserve">   Magnétos, dynamos-magnétos, volants magnétiques, pour moteurs à allumage par étincelles ou par compression</v>
      </c>
      <c r="C9671">
        <v>88561</v>
      </c>
      <c r="D9671">
        <v>60</v>
      </c>
    </row>
    <row r="9672" spans="1:4" x14ac:dyDescent="0.25">
      <c r="A9672" t="str">
        <f>T("   851150")</f>
        <v xml:space="preserve">   851150</v>
      </c>
      <c r="B9672"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9672">
        <v>147601</v>
      </c>
      <c r="D9672">
        <v>125</v>
      </c>
    </row>
    <row r="9673" spans="1:4" x14ac:dyDescent="0.25">
      <c r="A9673" t="str">
        <f>T("   851310")</f>
        <v xml:space="preserve">   851310</v>
      </c>
      <c r="B9673" t="str">
        <f>T("   Lampes électriques portatives, destinées à fonctionner au moyen de leur propre source d'énergie")</f>
        <v xml:space="preserve">   Lampes électriques portatives, destinées à fonctionner au moyen de leur propre source d'énergie</v>
      </c>
      <c r="C9673">
        <v>4742562</v>
      </c>
      <c r="D9673">
        <v>94848.6</v>
      </c>
    </row>
    <row r="9674" spans="1:4" x14ac:dyDescent="0.25">
      <c r="A9674" t="str">
        <f>T("   851529")</f>
        <v xml:space="preserve">   851529</v>
      </c>
      <c r="B9674" t="str">
        <f>T("   MACHINES ET APPAREILS POUR LE SOUDAGE DES MÉTAUX PAR RÉSISTANCE, NON-AUTOMATIQUES")</f>
        <v xml:space="preserve">   MACHINES ET APPAREILS POUR LE SOUDAGE DES MÉTAUX PAR RÉSISTANCE, NON-AUTOMATIQUES</v>
      </c>
      <c r="C9674">
        <v>16657448</v>
      </c>
      <c r="D9674">
        <v>3143</v>
      </c>
    </row>
    <row r="9675" spans="1:4" x14ac:dyDescent="0.25">
      <c r="A9675" t="str">
        <f>T("   851610")</f>
        <v xml:space="preserve">   851610</v>
      </c>
      <c r="B9675" t="str">
        <f>T("   Chauffe-eau et thermoplongeurs électriques")</f>
        <v xml:space="preserve">   Chauffe-eau et thermoplongeurs électriques</v>
      </c>
      <c r="C9675">
        <v>21846</v>
      </c>
      <c r="D9675">
        <v>20</v>
      </c>
    </row>
    <row r="9676" spans="1:4" x14ac:dyDescent="0.25">
      <c r="A9676" t="str">
        <f>T("   851631")</f>
        <v xml:space="preserve">   851631</v>
      </c>
      <c r="B9676" t="str">
        <f>T("   Sèche-cheveux électriques")</f>
        <v xml:space="preserve">   Sèche-cheveux électriques</v>
      </c>
      <c r="C9676">
        <v>79806</v>
      </c>
      <c r="D9676">
        <v>2230</v>
      </c>
    </row>
    <row r="9677" spans="1:4" x14ac:dyDescent="0.25">
      <c r="A9677" t="str">
        <f>T("   851640")</f>
        <v xml:space="preserve">   851640</v>
      </c>
      <c r="B9677" t="str">
        <f>T("   Fers à repasser électriques")</f>
        <v xml:space="preserve">   Fers à repasser électriques</v>
      </c>
      <c r="C9677">
        <v>509211</v>
      </c>
      <c r="D9677">
        <v>383</v>
      </c>
    </row>
    <row r="9678" spans="1:4" x14ac:dyDescent="0.25">
      <c r="A9678" t="str">
        <f>T("   851821")</f>
        <v xml:space="preserve">   851821</v>
      </c>
      <c r="B9678" t="str">
        <f>T("   Haut-parleur unique monté dans son enceinte")</f>
        <v xml:space="preserve">   Haut-parleur unique monté dans son enceinte</v>
      </c>
      <c r="C9678">
        <v>327690</v>
      </c>
      <c r="D9678">
        <v>1100</v>
      </c>
    </row>
    <row r="9679" spans="1:4" x14ac:dyDescent="0.25">
      <c r="A9679" t="str">
        <f>T("   851829")</f>
        <v xml:space="preserve">   851829</v>
      </c>
      <c r="B9679" t="str">
        <f>T("   Haut-parleurs sans enceinte")</f>
        <v xml:space="preserve">   Haut-parleurs sans enceinte</v>
      </c>
      <c r="C9679">
        <v>3427335</v>
      </c>
      <c r="D9679">
        <v>4918</v>
      </c>
    </row>
    <row r="9680" spans="1:4" x14ac:dyDescent="0.25">
      <c r="A9680" t="str">
        <f>T("   851840")</f>
        <v xml:space="preserve">   851840</v>
      </c>
      <c r="B9680" t="str">
        <f>T("   Amplificateurs électriques d'audiofréquence")</f>
        <v xml:space="preserve">   Amplificateurs électriques d'audiofréquence</v>
      </c>
      <c r="C9680">
        <v>3000000</v>
      </c>
      <c r="D9680">
        <v>2200</v>
      </c>
    </row>
    <row r="9681" spans="1:4" x14ac:dyDescent="0.25">
      <c r="A9681" t="str">
        <f>T("   851999")</f>
        <v xml:space="preserve">   851999</v>
      </c>
      <c r="B9681"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9681">
        <v>100000</v>
      </c>
      <c r="D9681">
        <v>100</v>
      </c>
    </row>
    <row r="9682" spans="1:4" x14ac:dyDescent="0.25">
      <c r="A9682" t="str">
        <f>T("   852032")</f>
        <v xml:space="preserve">   852032</v>
      </c>
      <c r="B9682" t="str">
        <f>T("   Appareils d'enregistrement et de reproduction du son, sur bandes magnétiques, numériques (autres que machines à dicter ne pouvant fonctionner qu'avec source d'énergie extérieure et répondeurs téléphoniques)")</f>
        <v xml:space="preserve">   Appareils d'enregistrement et de reproduction du son, sur bandes magnétiques, numériques (autres que machines à dicter ne pouvant fonctionner qu'avec source d'énergie extérieure et répondeurs téléphoniques)</v>
      </c>
      <c r="C9682">
        <v>21846</v>
      </c>
      <c r="D9682">
        <v>20</v>
      </c>
    </row>
    <row r="9683" spans="1:4" x14ac:dyDescent="0.25">
      <c r="A9683" t="str">
        <f>T("   852090")</f>
        <v xml:space="preserve">   852090</v>
      </c>
      <c r="B9683"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9683">
        <v>1168761</v>
      </c>
      <c r="D9683">
        <v>3676</v>
      </c>
    </row>
    <row r="9684" spans="1:4" x14ac:dyDescent="0.25">
      <c r="A9684" t="str">
        <f>T("   852432")</f>
        <v xml:space="preserve">   852432</v>
      </c>
      <c r="B9684" t="str">
        <f>T("   Disques enregistrés pour systèmes de lecture optique par faisceau laser, pour la reproduction du son uniquement")</f>
        <v xml:space="preserve">   Disques enregistrés pour systèmes de lecture optique par faisceau laser, pour la reproduction du son uniquement</v>
      </c>
      <c r="C9684">
        <v>54615</v>
      </c>
      <c r="D9684">
        <v>50</v>
      </c>
    </row>
    <row r="9685" spans="1:4" x14ac:dyDescent="0.25">
      <c r="A9685" t="str">
        <f>T("   852540")</f>
        <v xml:space="preserve">   852540</v>
      </c>
      <c r="B9685" t="str">
        <f>T("   Appareils de prise de vues fixes vidéo et autres caméscopes; appareils photographiques numériques")</f>
        <v xml:space="preserve">   Appareils de prise de vues fixes vidéo et autres caméscopes; appareils photographiques numériques</v>
      </c>
      <c r="C9685">
        <v>456529</v>
      </c>
      <c r="D9685">
        <v>1810</v>
      </c>
    </row>
    <row r="9686" spans="1:4" x14ac:dyDescent="0.25">
      <c r="A9686" t="str">
        <f>T("   852713")</f>
        <v xml:space="preserve">   852713</v>
      </c>
      <c r="B9686"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9686">
        <v>502458</v>
      </c>
      <c r="D9686">
        <v>1438</v>
      </c>
    </row>
    <row r="9687" spans="1:4" x14ac:dyDescent="0.25">
      <c r="A9687" t="str">
        <f>T("   852719")</f>
        <v xml:space="preserve">   852719</v>
      </c>
      <c r="B9687"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9687">
        <v>326610</v>
      </c>
      <c r="D9687">
        <v>482</v>
      </c>
    </row>
    <row r="9688" spans="1:4" x14ac:dyDescent="0.25">
      <c r="A9688" t="str">
        <f>T("   852729")</f>
        <v xml:space="preserve">   852729</v>
      </c>
      <c r="B9688" t="s">
        <v>461</v>
      </c>
      <c r="C9688">
        <v>128568</v>
      </c>
      <c r="D9688">
        <v>7</v>
      </c>
    </row>
    <row r="9689" spans="1:4" x14ac:dyDescent="0.25">
      <c r="A9689" t="str">
        <f>T("   852812")</f>
        <v xml:space="preserve">   852812</v>
      </c>
      <c r="B968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9689">
        <v>3347367</v>
      </c>
      <c r="D9689">
        <v>2158</v>
      </c>
    </row>
    <row r="9690" spans="1:4" x14ac:dyDescent="0.25">
      <c r="A9690" t="str">
        <f>T("   852910")</f>
        <v xml:space="preserve">   852910</v>
      </c>
      <c r="B9690"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9690">
        <v>3213408</v>
      </c>
      <c r="D9690">
        <v>3014</v>
      </c>
    </row>
    <row r="9691" spans="1:4" x14ac:dyDescent="0.25">
      <c r="A9691" t="str">
        <f>T("   853110")</f>
        <v xml:space="preserve">   853110</v>
      </c>
      <c r="B9691" t="str">
        <f>T("   Avertisseurs électriques pour la protection contre le vol ou l'incendie et appareils simil.")</f>
        <v xml:space="preserve">   Avertisseurs électriques pour la protection contre le vol ou l'incendie et appareils simil.</v>
      </c>
      <c r="C9691">
        <v>6000000</v>
      </c>
      <c r="D9691">
        <v>4070</v>
      </c>
    </row>
    <row r="9692" spans="1:4" x14ac:dyDescent="0.25">
      <c r="A9692" t="str">
        <f>T("   853630")</f>
        <v xml:space="preserve">   853630</v>
      </c>
      <c r="B9692"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9692">
        <v>174768</v>
      </c>
      <c r="D9692">
        <v>705</v>
      </c>
    </row>
    <row r="9693" spans="1:4" x14ac:dyDescent="0.25">
      <c r="A9693" t="str">
        <f>T("   853650")</f>
        <v xml:space="preserve">   853650</v>
      </c>
      <c r="B9693" t="str">
        <f>T("   Interrupteurs, sectionneurs et commutateurs, pour une tension &lt;= 1.000 V (autres que relais et disjoncteurs)")</f>
        <v xml:space="preserve">   Interrupteurs, sectionneurs et commutateurs, pour une tension &lt;= 1.000 V (autres que relais et disjoncteurs)</v>
      </c>
      <c r="C9693">
        <v>457141</v>
      </c>
      <c r="D9693">
        <v>30</v>
      </c>
    </row>
    <row r="9694" spans="1:4" x14ac:dyDescent="0.25">
      <c r="A9694" t="str">
        <f>T("   853710")</f>
        <v xml:space="preserve">   853710</v>
      </c>
      <c r="B9694"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9694">
        <v>880299</v>
      </c>
      <c r="D9694">
        <v>166</v>
      </c>
    </row>
    <row r="9695" spans="1:4" x14ac:dyDescent="0.25">
      <c r="A9695" t="str">
        <f>T("   853810")</f>
        <v xml:space="preserve">   853810</v>
      </c>
      <c r="B9695" t="str">
        <f>T("   Tableaux, panneaux, consoles, pupitres, armoires et autres supports pour articles du n° 8537, dépourvus de leurs appareils")</f>
        <v xml:space="preserve">   Tableaux, panneaux, consoles, pupitres, armoires et autres supports pour articles du n° 8537, dépourvus de leurs appareils</v>
      </c>
      <c r="C9695">
        <v>358102</v>
      </c>
      <c r="D9695">
        <v>250</v>
      </c>
    </row>
    <row r="9696" spans="1:4" x14ac:dyDescent="0.25">
      <c r="A9696" t="str">
        <f>T("   853890")</f>
        <v xml:space="preserve">   853890</v>
      </c>
      <c r="B9696" t="s">
        <v>468</v>
      </c>
      <c r="C9696">
        <v>358102</v>
      </c>
      <c r="D9696">
        <v>2000</v>
      </c>
    </row>
    <row r="9697" spans="1:4" x14ac:dyDescent="0.25">
      <c r="A9697" t="str">
        <f>T("   853929")</f>
        <v xml:space="preserve">   853929</v>
      </c>
      <c r="B9697"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9697">
        <v>7176411</v>
      </c>
      <c r="D9697">
        <v>31935</v>
      </c>
    </row>
    <row r="9698" spans="1:4" x14ac:dyDescent="0.25">
      <c r="A9698" t="str">
        <f>T("   853931")</f>
        <v xml:space="preserve">   853931</v>
      </c>
      <c r="B9698" t="str">
        <f>T("   Lampes et tubes à décharge, fluorescents, à cathode chaude")</f>
        <v xml:space="preserve">   Lampes et tubes à décharge, fluorescents, à cathode chaude</v>
      </c>
      <c r="C9698">
        <v>6446782</v>
      </c>
      <c r="D9698">
        <v>23797</v>
      </c>
    </row>
    <row r="9699" spans="1:4" x14ac:dyDescent="0.25">
      <c r="A9699" t="str">
        <f>T("   853939")</f>
        <v xml:space="preserve">   853939</v>
      </c>
      <c r="B9699"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9699">
        <v>5017556</v>
      </c>
      <c r="D9699">
        <v>13303</v>
      </c>
    </row>
    <row r="9700" spans="1:4" x14ac:dyDescent="0.25">
      <c r="A9700" t="str">
        <f>T("   853949")</f>
        <v xml:space="preserve">   853949</v>
      </c>
      <c r="B9700" t="str">
        <f>T("   Lampes et tubes à rayons ultraviolets ou infrarouges")</f>
        <v xml:space="preserve">   Lampes et tubes à rayons ultraviolets ou infrarouges</v>
      </c>
      <c r="C9700">
        <v>21846</v>
      </c>
      <c r="D9700">
        <v>20</v>
      </c>
    </row>
    <row r="9701" spans="1:4" x14ac:dyDescent="0.25">
      <c r="A9701" t="str">
        <f>T("   854099")</f>
        <v xml:space="preserve">   854099</v>
      </c>
      <c r="B9701" t="str">
        <f>T("   Parties de lampes, tubes et valves électroniques à cathode chaude, à cathode froide et à photocathode (sauf parties de tubes cathodiques), n.d.a.")</f>
        <v xml:space="preserve">   Parties de lampes, tubes et valves électroniques à cathode chaude, à cathode froide et à photocathode (sauf parties de tubes cathodiques), n.d.a.</v>
      </c>
      <c r="C9701">
        <v>123010</v>
      </c>
      <c r="D9701">
        <v>825</v>
      </c>
    </row>
    <row r="9702" spans="1:4" x14ac:dyDescent="0.25">
      <c r="A9702" t="str">
        <f>T("   854419")</f>
        <v xml:space="preserve">   854419</v>
      </c>
      <c r="B9702" t="str">
        <f>T("   Fils pour bobinages pour l'électricité, autres qu'en cuivre, isolés")</f>
        <v xml:space="preserve">   Fils pour bobinages pour l'électricité, autres qu'en cuivre, isolés</v>
      </c>
      <c r="C9702">
        <v>5159811</v>
      </c>
      <c r="D9702">
        <v>2191</v>
      </c>
    </row>
    <row r="9703" spans="1:4" x14ac:dyDescent="0.25">
      <c r="A9703" t="str">
        <f>T("   854420")</f>
        <v xml:space="preserve">   854420</v>
      </c>
      <c r="B9703" t="str">
        <f>T("   Câbles coaxiaux et autres conducteurs électriques coaxiaux, isolés")</f>
        <v xml:space="preserve">   Câbles coaxiaux et autres conducteurs électriques coaxiaux, isolés</v>
      </c>
      <c r="C9703">
        <v>5301971</v>
      </c>
      <c r="D9703">
        <v>47405</v>
      </c>
    </row>
    <row r="9704" spans="1:4" x14ac:dyDescent="0.25">
      <c r="A9704" t="str">
        <f>T("   854449")</f>
        <v xml:space="preserve">   854449</v>
      </c>
      <c r="B9704" t="str">
        <f>T("   CONDUCTEURS ÉLECTRIQUES, POUR TENSION &lt;= 1.000 V, ISOLÉS, SANS PIÈCES DE CONNEXION, N.D.A.")</f>
        <v xml:space="preserve">   CONDUCTEURS ÉLECTRIQUES, POUR TENSION &lt;= 1.000 V, ISOLÉS, SANS PIÈCES DE CONNEXION, N.D.A.</v>
      </c>
      <c r="C9704">
        <v>8224052</v>
      </c>
      <c r="D9704">
        <v>7477</v>
      </c>
    </row>
    <row r="9705" spans="1:4" x14ac:dyDescent="0.25">
      <c r="A9705" t="str">
        <f>T("   854451")</f>
        <v xml:space="preserve">   854451</v>
      </c>
      <c r="B9705" t="str">
        <f>T("   Conducteurs électriques, pour tension &gt; 80 V mais &lt;= 1.000 V, avec pièces de connexion, n.d.a.")</f>
        <v xml:space="preserve">   Conducteurs électriques, pour tension &gt; 80 V mais &lt;= 1.000 V, avec pièces de connexion, n.d.a.</v>
      </c>
      <c r="C9705">
        <v>3152922</v>
      </c>
      <c r="D9705">
        <v>11490</v>
      </c>
    </row>
    <row r="9706" spans="1:4" x14ac:dyDescent="0.25">
      <c r="A9706" t="str">
        <f>T("   854460")</f>
        <v xml:space="preserve">   854460</v>
      </c>
      <c r="B9706" t="str">
        <f>T("   Conducteurs électriques, pour tension &gt; 1.000 V, n.d.a.")</f>
        <v xml:space="preserve">   Conducteurs électriques, pour tension &gt; 1.000 V, n.d.a.</v>
      </c>
      <c r="C9706">
        <v>1000000</v>
      </c>
      <c r="D9706">
        <v>1502</v>
      </c>
    </row>
    <row r="9707" spans="1:4" x14ac:dyDescent="0.25">
      <c r="A9707" t="str">
        <f>T("   854470")</f>
        <v xml:space="preserve">   854470</v>
      </c>
      <c r="B9707"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9707">
        <v>6048</v>
      </c>
      <c r="D9707">
        <v>15</v>
      </c>
    </row>
    <row r="9708" spans="1:4" x14ac:dyDescent="0.25">
      <c r="A9708" t="str">
        <f>T("   854590")</f>
        <v xml:space="preserve">   854590</v>
      </c>
      <c r="B9708" t="str">
        <f>T("   Articles en graphite ou en autre carbone, pour usages électriques (autres qu'électrodes et balais)")</f>
        <v xml:space="preserve">   Articles en graphite ou en autre carbone, pour usages électriques (autres qu'électrodes et balais)</v>
      </c>
      <c r="C9708">
        <v>7380</v>
      </c>
      <c r="D9708">
        <v>3</v>
      </c>
    </row>
    <row r="9709" spans="1:4" x14ac:dyDescent="0.25">
      <c r="A9709" t="str">
        <f>T("   870120")</f>
        <v xml:space="preserve">   870120</v>
      </c>
      <c r="B9709" t="str">
        <f>T("   Tracteurs routiers pour semi-remorques")</f>
        <v xml:space="preserve">   Tracteurs routiers pour semi-remorques</v>
      </c>
      <c r="C9709">
        <v>62438122</v>
      </c>
      <c r="D9709">
        <v>382023</v>
      </c>
    </row>
    <row r="9710" spans="1:4" x14ac:dyDescent="0.25">
      <c r="A9710" t="str">
        <f>T("   870190")</f>
        <v xml:space="preserve">   870190</v>
      </c>
      <c r="B9710"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9710">
        <v>14671894</v>
      </c>
      <c r="D9710">
        <v>90769</v>
      </c>
    </row>
    <row r="9711" spans="1:4" x14ac:dyDescent="0.25">
      <c r="A9711" t="str">
        <f>T("   870210")</f>
        <v xml:space="preserve">   870210</v>
      </c>
      <c r="B9711" t="s">
        <v>469</v>
      </c>
      <c r="C9711">
        <v>20873977</v>
      </c>
      <c r="D9711">
        <v>41610</v>
      </c>
    </row>
    <row r="9712" spans="1:4" x14ac:dyDescent="0.25">
      <c r="A9712" t="str">
        <f>T("   870290")</f>
        <v xml:space="preserve">   870290</v>
      </c>
      <c r="B9712" t="s">
        <v>470</v>
      </c>
      <c r="C9712">
        <v>12000000</v>
      </c>
      <c r="D9712">
        <v>15361</v>
      </c>
    </row>
    <row r="9713" spans="1:4" x14ac:dyDescent="0.25">
      <c r="A9713" t="str">
        <f>T("   870322")</f>
        <v xml:space="preserve">   870322</v>
      </c>
      <c r="B9713" t="s">
        <v>472</v>
      </c>
      <c r="C9713">
        <v>220021984</v>
      </c>
      <c r="D9713">
        <v>148719</v>
      </c>
    </row>
    <row r="9714" spans="1:4" x14ac:dyDescent="0.25">
      <c r="A9714" t="str">
        <f>T("   870323")</f>
        <v xml:space="preserve">   870323</v>
      </c>
      <c r="B9714" t="s">
        <v>473</v>
      </c>
      <c r="C9714">
        <v>180787036</v>
      </c>
      <c r="D9714">
        <v>61919</v>
      </c>
    </row>
    <row r="9715" spans="1:4" x14ac:dyDescent="0.25">
      <c r="A9715" t="str">
        <f>T("   870331")</f>
        <v xml:space="preserve">   870331</v>
      </c>
      <c r="B9715" t="s">
        <v>475</v>
      </c>
      <c r="C9715">
        <v>16362000</v>
      </c>
      <c r="D9715">
        <v>2205</v>
      </c>
    </row>
    <row r="9716" spans="1:4" x14ac:dyDescent="0.25">
      <c r="A9716" t="str">
        <f>T("   870332")</f>
        <v xml:space="preserve">   870332</v>
      </c>
      <c r="B9716" t="s">
        <v>476</v>
      </c>
      <c r="C9716">
        <v>3696200</v>
      </c>
      <c r="D9716">
        <v>1461</v>
      </c>
    </row>
    <row r="9717" spans="1:4" x14ac:dyDescent="0.25">
      <c r="A9717" t="str">
        <f>T("   870333")</f>
        <v xml:space="preserve">   870333</v>
      </c>
      <c r="B9717" t="s">
        <v>477</v>
      </c>
      <c r="C9717">
        <v>13490470</v>
      </c>
      <c r="D9717">
        <v>11440</v>
      </c>
    </row>
    <row r="9718" spans="1:4" x14ac:dyDescent="0.25">
      <c r="A9718" t="str">
        <f>T("   870421")</f>
        <v xml:space="preserve">   870421</v>
      </c>
      <c r="B9718" t="s">
        <v>478</v>
      </c>
      <c r="C9718">
        <v>91786984</v>
      </c>
      <c r="D9718">
        <v>250425</v>
      </c>
    </row>
    <row r="9719" spans="1:4" x14ac:dyDescent="0.25">
      <c r="A9719" t="str">
        <f>T("   870422")</f>
        <v xml:space="preserve">   870422</v>
      </c>
      <c r="B9719" t="s">
        <v>479</v>
      </c>
      <c r="C9719">
        <v>51083149</v>
      </c>
      <c r="D9719">
        <v>153340</v>
      </c>
    </row>
    <row r="9720" spans="1:4" x14ac:dyDescent="0.25">
      <c r="A9720" t="str">
        <f>T("   870423")</f>
        <v xml:space="preserve">   870423</v>
      </c>
      <c r="B9720" t="s">
        <v>480</v>
      </c>
      <c r="C9720">
        <v>7880167</v>
      </c>
      <c r="D9720">
        <v>48020</v>
      </c>
    </row>
    <row r="9721" spans="1:4" x14ac:dyDescent="0.25">
      <c r="A9721" t="str">
        <f>T("   870431")</f>
        <v xml:space="preserve">   870431</v>
      </c>
      <c r="B9721" t="s">
        <v>481</v>
      </c>
      <c r="C9721">
        <v>20990963</v>
      </c>
      <c r="D9721">
        <v>82835</v>
      </c>
    </row>
    <row r="9722" spans="1:4" x14ac:dyDescent="0.25">
      <c r="A9722" t="str">
        <f>T("   870432")</f>
        <v xml:space="preserve">   870432</v>
      </c>
      <c r="B9722" t="s">
        <v>482</v>
      </c>
      <c r="C9722">
        <v>2410914</v>
      </c>
      <c r="D9722">
        <v>11430</v>
      </c>
    </row>
    <row r="9723" spans="1:4" x14ac:dyDescent="0.25">
      <c r="A9723" t="str">
        <f>T("   870490")</f>
        <v xml:space="preserve">   870490</v>
      </c>
      <c r="B9723"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9723">
        <v>3200000</v>
      </c>
      <c r="D9723">
        <v>13670</v>
      </c>
    </row>
    <row r="9724" spans="1:4" x14ac:dyDescent="0.25">
      <c r="A9724" t="str">
        <f>T("   870510")</f>
        <v xml:space="preserve">   870510</v>
      </c>
      <c r="B9724" t="str">
        <f>T("   Camions-grues (sauf dépanneuses)")</f>
        <v xml:space="preserve">   Camions-grues (sauf dépanneuses)</v>
      </c>
      <c r="C9724">
        <v>1482120</v>
      </c>
      <c r="D9724">
        <v>12900</v>
      </c>
    </row>
    <row r="9725" spans="1:4" x14ac:dyDescent="0.25">
      <c r="A9725" t="str">
        <f>T("   870590")</f>
        <v xml:space="preserve">   870590</v>
      </c>
      <c r="B9725" t="s">
        <v>483</v>
      </c>
      <c r="C9725">
        <v>3980484</v>
      </c>
      <c r="D9725">
        <v>17690</v>
      </c>
    </row>
    <row r="9726" spans="1:4" x14ac:dyDescent="0.25">
      <c r="A9726" t="str">
        <f>T("   870790")</f>
        <v xml:space="preserve">   870790</v>
      </c>
      <c r="B9726" t="str">
        <f>T("   CARROSSERIES DE TRACTEURS, VÉHICULES POUR LE TRANSPORT DE &gt;= 10 PERSONNES, CHAUFFEUR INCLUS, VÉHICULES POUR LE TRANSPORT DE MARCHANDISES ET VÉHICULES À USAGES SPÉCIAUX")</f>
        <v xml:space="preserve">   CARROSSERIES DE TRACTEURS, VÉHICULES POUR LE TRANSPORT DE &gt;= 10 PERSONNES, CHAUFFEUR INCLUS, VÉHICULES POUR LE TRANSPORT DE MARCHANDISES ET VÉHICULES À USAGES SPÉCIAUX</v>
      </c>
      <c r="C9726">
        <v>716204</v>
      </c>
      <c r="D9726">
        <v>1200</v>
      </c>
    </row>
    <row r="9727" spans="1:4" x14ac:dyDescent="0.25">
      <c r="A9727" t="str">
        <f>T("   870810")</f>
        <v xml:space="preserve">   870810</v>
      </c>
      <c r="B9727"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9727">
        <v>147601</v>
      </c>
      <c r="D9727">
        <v>90</v>
      </c>
    </row>
    <row r="9728" spans="1:4" x14ac:dyDescent="0.25">
      <c r="A9728" t="str">
        <f>T("   870860")</f>
        <v xml:space="preserve">   870860</v>
      </c>
      <c r="B9728" t="str">
        <f>T("   ESSIEUX PORTEURS ET LEURS PARTIES, POUR TRACTEURS, VÉHICULES POUR LE TRANSPORT DE &gt;= 10 PERSONNES, CHAUFFEUR INCLUS, VOITURES DE TOURISME, VÉHICULES POUR LE TRANSPORT DE MARCHANDISES ET VÉHICULES À USAGES SPÉCIAUX N.D.A.")</f>
        <v xml:space="preserve">   ESSIEUX PORTEURS ET LEURS PARTIES, POUR TRACTEURS, VÉHICULES POUR LE TRANSPORT DE &gt;= 10 PERSONNES, CHAUFFEUR INCLUS, VOITURES DE TOURISME, VÉHICULES POUR LE TRANSPORT DE MARCHANDISES ET VÉHICULES À USAGES SPÉCIAUX N.D.A.</v>
      </c>
      <c r="C9728">
        <v>348339</v>
      </c>
      <c r="D9728">
        <v>790</v>
      </c>
    </row>
    <row r="9729" spans="1:4" x14ac:dyDescent="0.25">
      <c r="A9729" t="str">
        <f>T("   870899")</f>
        <v xml:space="preserve">   870899</v>
      </c>
      <c r="B972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9729">
        <v>4086000</v>
      </c>
      <c r="D9729">
        <v>19746</v>
      </c>
    </row>
    <row r="9730" spans="1:4" x14ac:dyDescent="0.25">
      <c r="A9730" t="str">
        <f>T("   871120")</f>
        <v xml:space="preserve">   871120</v>
      </c>
      <c r="B9730" t="str">
        <f>T("   Motocycles à moteur à piston alternatif, cylindrée &gt; 50 cm³ mais &lt;= 250 cm³")</f>
        <v xml:space="preserve">   Motocycles à moteur à piston alternatif, cylindrée &gt; 50 cm³ mais &lt;= 250 cm³</v>
      </c>
      <c r="C9730">
        <v>682452062</v>
      </c>
      <c r="D9730">
        <v>351992</v>
      </c>
    </row>
    <row r="9731" spans="1:4" x14ac:dyDescent="0.25">
      <c r="A9731" t="str">
        <f>T("   871130")</f>
        <v xml:space="preserve">   871130</v>
      </c>
      <c r="B9731" t="str">
        <f>T("   Motocycles à moteur à piston alternatif, cylindrée &gt; 250 cm³ mais &lt;= 500 cm³")</f>
        <v xml:space="preserve">   Motocycles à moteur à piston alternatif, cylindrée &gt; 250 cm³ mais &lt;= 500 cm³</v>
      </c>
      <c r="C9731">
        <v>2043942</v>
      </c>
      <c r="D9731">
        <v>725</v>
      </c>
    </row>
    <row r="9732" spans="1:4" x14ac:dyDescent="0.25">
      <c r="A9732" t="str">
        <f>T("   871140")</f>
        <v xml:space="preserve">   871140</v>
      </c>
      <c r="B9732" t="str">
        <f>T("   Motocycles à moteur à piston alternatif, cylindrée &gt; 500 cm³ mais &lt;= 800 cm³")</f>
        <v xml:space="preserve">   Motocycles à moteur à piston alternatif, cylindrée &gt; 500 cm³ mais &lt;= 800 cm³</v>
      </c>
      <c r="C9732">
        <v>192600000</v>
      </c>
      <c r="D9732">
        <v>122120</v>
      </c>
    </row>
    <row r="9733" spans="1:4" x14ac:dyDescent="0.25">
      <c r="A9733" t="str">
        <f>T("   871190")</f>
        <v xml:space="preserve">   871190</v>
      </c>
      <c r="B9733" t="str">
        <f>T("   Side-cars")</f>
        <v xml:space="preserve">   Side-cars</v>
      </c>
      <c r="C9733">
        <v>180000</v>
      </c>
      <c r="D9733">
        <v>100</v>
      </c>
    </row>
    <row r="9734" spans="1:4" x14ac:dyDescent="0.25">
      <c r="A9734" t="str">
        <f>T("   871200")</f>
        <v xml:space="preserve">   871200</v>
      </c>
      <c r="B9734" t="str">
        <f>T("   BICYCLETTES ET AUTRES CYCLES, -Y.C. LES TRIPORTEURS-, SANS MOTEUR")</f>
        <v xml:space="preserve">   BICYCLETTES ET AUTRES CYCLES, -Y.C. LES TRIPORTEURS-, SANS MOTEUR</v>
      </c>
      <c r="C9734">
        <v>237290</v>
      </c>
      <c r="D9734">
        <v>1870</v>
      </c>
    </row>
    <row r="9735" spans="1:4" x14ac:dyDescent="0.25">
      <c r="A9735" t="str">
        <f>T("   871390")</f>
        <v xml:space="preserve">   871390</v>
      </c>
      <c r="B9735" t="str">
        <f>T("   Fauteuils roulants et autres véhicules pour invalides, avec mécanisme de propulsion (sauf automobiles et bicyclettes munies de dispositifs spéciaux)")</f>
        <v xml:space="preserve">   Fauteuils roulants et autres véhicules pour invalides, avec mécanisme de propulsion (sauf automobiles et bicyclettes munies de dispositifs spéciaux)</v>
      </c>
      <c r="C9735">
        <v>2342288</v>
      </c>
      <c r="D9735">
        <v>160</v>
      </c>
    </row>
    <row r="9736" spans="1:4" x14ac:dyDescent="0.25">
      <c r="A9736" t="str">
        <f>T("   871411")</f>
        <v xml:space="preserve">   871411</v>
      </c>
      <c r="B9736" t="str">
        <f>T("   Selles de motocycles, y.c. de cyclomoteurs")</f>
        <v xml:space="preserve">   Selles de motocycles, y.c. de cyclomoteurs</v>
      </c>
      <c r="C9736">
        <v>17424</v>
      </c>
      <c r="D9736">
        <v>150</v>
      </c>
    </row>
    <row r="9737" spans="1:4" x14ac:dyDescent="0.25">
      <c r="A9737" t="str">
        <f>T("   871419")</f>
        <v xml:space="preserve">   871419</v>
      </c>
      <c r="B9737" t="str">
        <f>T("   Parties et accessoires de motocycles, y.c. de cyclomoteurs, n.d.a.")</f>
        <v xml:space="preserve">   Parties et accessoires de motocycles, y.c. de cyclomoteurs, n.d.a.</v>
      </c>
      <c r="C9737">
        <v>2287714</v>
      </c>
      <c r="D9737">
        <v>2670</v>
      </c>
    </row>
    <row r="9738" spans="1:4" x14ac:dyDescent="0.25">
      <c r="A9738" t="str">
        <f>T("   871492")</f>
        <v xml:space="preserve">   871492</v>
      </c>
      <c r="B9738" t="str">
        <f>T("   Jantes et rayons, de bicyclettes")</f>
        <v xml:space="preserve">   Jantes et rayons, de bicyclettes</v>
      </c>
      <c r="C9738">
        <v>3385731</v>
      </c>
      <c r="D9738">
        <v>114</v>
      </c>
    </row>
    <row r="9739" spans="1:4" x14ac:dyDescent="0.25">
      <c r="A9739" t="str">
        <f>T("   871493")</f>
        <v xml:space="preserve">   871493</v>
      </c>
      <c r="B9739" t="str">
        <f>T("   Moyeux (autres que les moyeux à frein) et pignons de roues libres, de bicyclettes")</f>
        <v xml:space="preserve">   Moyeux (autres que les moyeux à frein) et pignons de roues libres, de bicyclettes</v>
      </c>
      <c r="C9739">
        <v>378495</v>
      </c>
      <c r="D9739">
        <v>338</v>
      </c>
    </row>
    <row r="9740" spans="1:4" x14ac:dyDescent="0.25">
      <c r="A9740" t="str">
        <f>T("   871499")</f>
        <v xml:space="preserve">   871499</v>
      </c>
      <c r="B9740" t="str">
        <f>T("   Parties et accessoires, de bicyclettes, n.d.a.")</f>
        <v xml:space="preserve">   Parties et accessoires, de bicyclettes, n.d.a.</v>
      </c>
      <c r="C9740">
        <v>468279</v>
      </c>
      <c r="D9740">
        <v>483</v>
      </c>
    </row>
    <row r="9741" spans="1:4" x14ac:dyDescent="0.25">
      <c r="A9741" t="str">
        <f>T("   871610")</f>
        <v xml:space="preserve">   871610</v>
      </c>
      <c r="B9741" t="str">
        <f>T("   Remorques et semi-remorques pour l'habitation ou le camping, du type caravane")</f>
        <v xml:space="preserve">   Remorques et semi-remorques pour l'habitation ou le camping, du type caravane</v>
      </c>
      <c r="C9741">
        <v>600000</v>
      </c>
      <c r="D9741">
        <v>1300</v>
      </c>
    </row>
    <row r="9742" spans="1:4" x14ac:dyDescent="0.25">
      <c r="A9742" t="str">
        <f>T("   871620")</f>
        <v xml:space="preserve">   871620</v>
      </c>
      <c r="B9742" t="str">
        <f>T("   Remorques et semi-remorques autochargeuses ou autodéchargeuses, pour usages agricoles")</f>
        <v xml:space="preserve">   Remorques et semi-remorques autochargeuses ou autodéchargeuses, pour usages agricoles</v>
      </c>
      <c r="C9742">
        <v>20314356</v>
      </c>
      <c r="D9742">
        <v>101882</v>
      </c>
    </row>
    <row r="9743" spans="1:4" x14ac:dyDescent="0.25">
      <c r="A9743" t="str">
        <f>T("   871631")</f>
        <v xml:space="preserve">   871631</v>
      </c>
      <c r="B9743" t="str">
        <f>T("   Remorques-citernes ne circulant pas sur rails")</f>
        <v xml:space="preserve">   Remorques-citernes ne circulant pas sur rails</v>
      </c>
      <c r="C9743">
        <v>5239470</v>
      </c>
      <c r="D9743">
        <v>16060</v>
      </c>
    </row>
    <row r="9744" spans="1:4" x14ac:dyDescent="0.25">
      <c r="A9744" t="str">
        <f>T("   871639")</f>
        <v xml:space="preserve">   871639</v>
      </c>
      <c r="B9744"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9744">
        <v>10256845</v>
      </c>
      <c r="D9744">
        <v>86480</v>
      </c>
    </row>
    <row r="9745" spans="1:4" x14ac:dyDescent="0.25">
      <c r="A9745" t="str">
        <f>T("   871640")</f>
        <v xml:space="preserve">   871640</v>
      </c>
      <c r="B9745"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9745">
        <v>17730698</v>
      </c>
      <c r="D9745">
        <v>180810</v>
      </c>
    </row>
    <row r="9746" spans="1:4" x14ac:dyDescent="0.25">
      <c r="A9746" t="str">
        <f>T("   871680")</f>
        <v xml:space="preserve">   871680</v>
      </c>
      <c r="B9746" t="str">
        <f>T("   Véhicules dirigés à la main et autres véhicules non automobiles, autres que remorques et semi-remorques")</f>
        <v xml:space="preserve">   Véhicules dirigés à la main et autres véhicules non automobiles, autres que remorques et semi-remorques</v>
      </c>
      <c r="C9746">
        <v>59702728</v>
      </c>
      <c r="D9746">
        <v>12100</v>
      </c>
    </row>
    <row r="9747" spans="1:4" x14ac:dyDescent="0.25">
      <c r="A9747" t="str">
        <f>T("   880110")</f>
        <v xml:space="preserve">   880110</v>
      </c>
      <c r="B9747" t="str">
        <f>T("   PLANEURS ET AILES VOLANTES")</f>
        <v xml:space="preserve">   PLANEURS ET AILES VOLANTES</v>
      </c>
      <c r="C9747">
        <v>5000000</v>
      </c>
      <c r="D9747">
        <v>2265</v>
      </c>
    </row>
    <row r="9748" spans="1:4" x14ac:dyDescent="0.25">
      <c r="A9748" t="str">
        <f>T("   900219")</f>
        <v xml:space="preserve">   900219</v>
      </c>
      <c r="B9748" t="str">
        <f>T("   Objectifs (autres que pour appareils de prise de vues, pour projecteurs ou pour appareils photographiques ou cinématographiques d'agrandissement ou de réduction)")</f>
        <v xml:space="preserve">   Objectifs (autres que pour appareils de prise de vues, pour projecteurs ou pour appareils photographiques ou cinématographiques d'agrandissement ou de réduction)</v>
      </c>
      <c r="C9748">
        <v>65538</v>
      </c>
      <c r="D9748">
        <v>30</v>
      </c>
    </row>
    <row r="9749" spans="1:4" x14ac:dyDescent="0.25">
      <c r="A9749" t="str">
        <f>T("   900490")</f>
        <v xml:space="preserve">   900490</v>
      </c>
      <c r="B9749"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9749">
        <v>29616</v>
      </c>
      <c r="D9749">
        <v>318</v>
      </c>
    </row>
    <row r="9750" spans="1:4" x14ac:dyDescent="0.25">
      <c r="A9750" t="str">
        <f>T("   900911")</f>
        <v xml:space="preserve">   900911</v>
      </c>
      <c r="B9750"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9750">
        <v>655380</v>
      </c>
      <c r="D9750">
        <v>1860</v>
      </c>
    </row>
    <row r="9751" spans="1:4" x14ac:dyDescent="0.25">
      <c r="A9751" t="str">
        <f>T("   900921")</f>
        <v xml:space="preserve">   900921</v>
      </c>
      <c r="B9751" t="str">
        <f>T("   Appareils de photocopie à système optique (autres qu'électrostatiques)")</f>
        <v xml:space="preserve">   Appareils de photocopie à système optique (autres qu'électrostatiques)</v>
      </c>
      <c r="C9751">
        <v>109227</v>
      </c>
      <c r="D9751">
        <v>30</v>
      </c>
    </row>
    <row r="9752" spans="1:4" x14ac:dyDescent="0.25">
      <c r="A9752" t="str">
        <f>T("   900922")</f>
        <v xml:space="preserve">   900922</v>
      </c>
      <c r="B9752" t="str">
        <f>T("   APPAREILS DE PHOTOCOPIE PAR CONTACT")</f>
        <v xml:space="preserve">   APPAREILS DE PHOTOCOPIE PAR CONTACT</v>
      </c>
      <c r="C9752">
        <v>25932</v>
      </c>
      <c r="D9752">
        <v>15</v>
      </c>
    </row>
    <row r="9753" spans="1:4" x14ac:dyDescent="0.25">
      <c r="A9753" t="str">
        <f>T("   901720")</f>
        <v xml:space="preserve">   901720</v>
      </c>
      <c r="B9753" t="str">
        <f>T("   Instruments de dessin, de traçage et de calcul (sauf tables et machines à dessiner ainsi que calculatrices)")</f>
        <v xml:space="preserve">   Instruments de dessin, de traçage et de calcul (sauf tables et machines à dessiner ainsi que calculatrices)</v>
      </c>
      <c r="C9753">
        <v>23106</v>
      </c>
      <c r="D9753">
        <v>100</v>
      </c>
    </row>
    <row r="9754" spans="1:4" x14ac:dyDescent="0.25">
      <c r="A9754" t="str">
        <f>T("   901839")</f>
        <v xml:space="preserve">   901839</v>
      </c>
      <c r="B9754"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9754">
        <v>3649500</v>
      </c>
      <c r="D9754">
        <v>762</v>
      </c>
    </row>
    <row r="9755" spans="1:4" x14ac:dyDescent="0.25">
      <c r="A9755" t="str">
        <f>T("   901841")</f>
        <v xml:space="preserve">   901841</v>
      </c>
      <c r="B9755" t="str">
        <f>T("   Tours dentaires, même combinés sur une base commune avec d'autres équipements dentaires")</f>
        <v xml:space="preserve">   Tours dentaires, même combinés sur une base commune avec d'autres équipements dentaires</v>
      </c>
      <c r="C9755">
        <v>116607</v>
      </c>
      <c r="D9755">
        <v>60</v>
      </c>
    </row>
    <row r="9756" spans="1:4" x14ac:dyDescent="0.25">
      <c r="A9756" t="str">
        <f>T("   901890")</f>
        <v xml:space="preserve">   901890</v>
      </c>
      <c r="B9756" t="str">
        <f>T("   Instruments et appareils pour la médecine, la chirurgie ou l'art vétérinaire, n.d.a.")</f>
        <v xml:space="preserve">   Instruments et appareils pour la médecine, la chirurgie ou l'art vétérinaire, n.d.a.</v>
      </c>
      <c r="C9756">
        <v>19148898</v>
      </c>
      <c r="D9756">
        <v>10203</v>
      </c>
    </row>
    <row r="9757" spans="1:4" x14ac:dyDescent="0.25">
      <c r="A9757" t="str">
        <f>T("   902000")</f>
        <v xml:space="preserve">   902000</v>
      </c>
      <c r="B9757" t="str">
        <f>T("   APPAREILS RESPIRATOIRES ET MASQUES À GAZ (À L'EXCL. DES MASQUES DE PROTECTION DÉPOURVUS DE MÉCANISME ET D'ÉLÉMENT FILTRANT AMOVIBLE AINSI QUE DES APPAREILS DE RESPIRATOIRES DE RÉANIMATION ET AUTRES APPAREILS DE THERAPIE RESPIRATOIRE)")</f>
        <v xml:space="preserve">   APPAREILS RESPIRATOIRES ET MASQUES À GAZ (À L'EXCL. DES MASQUES DE PROTECTION DÉPOURVUS DE MÉCANISME ET D'ÉLÉMENT FILTRANT AMOVIBLE AINSI QUE DES APPAREILS DE RESPIRATOIRES DE RÉANIMATION ET AUTRES APPAREILS DE THERAPIE RESPIRATOIRE)</v>
      </c>
      <c r="C9757">
        <v>466281</v>
      </c>
      <c r="D9757">
        <v>200</v>
      </c>
    </row>
    <row r="9758" spans="1:4" x14ac:dyDescent="0.25">
      <c r="A9758" t="str">
        <f>T("   902300")</f>
        <v xml:space="preserve">   902300</v>
      </c>
      <c r="B9758" t="s">
        <v>497</v>
      </c>
      <c r="C9758">
        <v>8145496</v>
      </c>
      <c r="D9758">
        <v>8530</v>
      </c>
    </row>
    <row r="9759" spans="1:4" x14ac:dyDescent="0.25">
      <c r="A9759" t="str">
        <f>T("   902490")</f>
        <v xml:space="preserve">   902490</v>
      </c>
      <c r="B9759" t="str">
        <f>T("   Parties et accessoires des machines et appareils d'essais des propriétés mécaniques des matériaux, n.d.a.")</f>
        <v xml:space="preserve">   Parties et accessoires des machines et appareils d'essais des propriétés mécaniques des matériaux, n.d.a.</v>
      </c>
      <c r="C9759">
        <v>251189</v>
      </c>
      <c r="D9759">
        <v>4570</v>
      </c>
    </row>
    <row r="9760" spans="1:4" x14ac:dyDescent="0.25">
      <c r="A9760" t="str">
        <f>T("   902830")</f>
        <v xml:space="preserve">   902830</v>
      </c>
      <c r="B9760" t="str">
        <f>T("   Compteurs d'électricité, y.c. les compteurs pour leur étalonnage")</f>
        <v xml:space="preserve">   Compteurs d'électricité, y.c. les compteurs pour leur étalonnage</v>
      </c>
      <c r="C9760">
        <v>317113</v>
      </c>
      <c r="D9760">
        <v>300</v>
      </c>
    </row>
    <row r="9761" spans="1:4" x14ac:dyDescent="0.25">
      <c r="A9761" t="str">
        <f>T("   902910")</f>
        <v xml:space="preserve">   902910</v>
      </c>
      <c r="B9761"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9761">
        <v>290909</v>
      </c>
      <c r="D9761">
        <v>261</v>
      </c>
    </row>
    <row r="9762" spans="1:4" x14ac:dyDescent="0.25">
      <c r="A9762" t="str">
        <f>T("   903180")</f>
        <v xml:space="preserve">   903180</v>
      </c>
      <c r="B9762" t="str">
        <f>T("   INSTRUMENTS, APPAREILS ET MACHINES DE MESURE OU DE CONTRÔLE, NON-OPTIQUES, N.D.A. DANS LE PRÉSENT CHAPITRE")</f>
        <v xml:space="preserve">   INSTRUMENTS, APPAREILS ET MACHINES DE MESURE OU DE CONTRÔLE, NON-OPTIQUES, N.D.A. DANS LE PRÉSENT CHAPITRE</v>
      </c>
      <c r="C9762">
        <v>137713</v>
      </c>
      <c r="D9762">
        <v>1320</v>
      </c>
    </row>
    <row r="9763" spans="1:4" x14ac:dyDescent="0.25">
      <c r="A9763" t="str">
        <f>T("   903190")</f>
        <v xml:space="preserve">   903190</v>
      </c>
      <c r="B9763" t="str">
        <f>T("   Parties et accessoires des instruments, appareils et machines de mesure ou de contrôle, n.d.a.")</f>
        <v xml:space="preserve">   Parties et accessoires des instruments, appareils et machines de mesure ou de contrôle, n.d.a.</v>
      </c>
      <c r="C9763">
        <v>32906</v>
      </c>
      <c r="D9763">
        <v>974</v>
      </c>
    </row>
    <row r="9764" spans="1:4" x14ac:dyDescent="0.25">
      <c r="A9764" t="str">
        <f>T("   903289")</f>
        <v xml:space="preserve">   903289</v>
      </c>
      <c r="B9764" t="s">
        <v>501</v>
      </c>
      <c r="C9764">
        <v>4695002</v>
      </c>
      <c r="D9764">
        <v>576</v>
      </c>
    </row>
    <row r="9765" spans="1:4" x14ac:dyDescent="0.25">
      <c r="A9765" t="str">
        <f>T("   910112")</f>
        <v xml:space="preserve">   910112</v>
      </c>
      <c r="B9765" t="str">
        <f>T("   Montres-bracelets, même incorporant un compteur de temps, fonctionnant électriquement, à affichage optoélectronique seulement, avec boîte en métaux précieux ou en plaqués ou doublés de métaux précieux (sauf celles dont le fond est en acier)")</f>
        <v xml:space="preserve">   Montres-bracelets, même incorporant un compteur de temps, fonctionnant électriquement, à affichage optoélectronique seulement, avec boîte en métaux précieux ou en plaqués ou doublés de métaux précieux (sauf celles dont le fond est en acier)</v>
      </c>
      <c r="C9765">
        <v>460000</v>
      </c>
      <c r="D9765">
        <v>7</v>
      </c>
    </row>
    <row r="9766" spans="1:4" x14ac:dyDescent="0.25">
      <c r="A9766" t="str">
        <f>T("   910690")</f>
        <v xml:space="preserve">   910690</v>
      </c>
      <c r="B9766" t="str">
        <f>T("   APPAREILS DE CONTRÔLE DE TEMPS, À MOUVEMENT D'HORLOGERIE OU À MOTEUR SYNCHRONE (AUTRES QU'APPAREILS D'HORLOGERIE DU N° 9101 À 9105, HORLOGES DE POINTAGE, HORODATEURS ET HOROCOMPTEURS)")</f>
        <v xml:space="preserve">   APPAREILS DE CONTRÔLE DE TEMPS, À MOUVEMENT D'HORLOGERIE OU À MOTEUR SYNCHRONE (AUTRES QU'APPAREILS D'HORLOGERIE DU N° 9101 À 9105, HORLOGES DE POINTAGE, HORODATEURS ET HOROCOMPTEURS)</v>
      </c>
      <c r="C9766">
        <v>11815</v>
      </c>
      <c r="D9766">
        <v>320</v>
      </c>
    </row>
    <row r="9767" spans="1:4" x14ac:dyDescent="0.25">
      <c r="A9767" t="str">
        <f>T("   920300")</f>
        <v xml:space="preserve">   920300</v>
      </c>
      <c r="B9767" t="str">
        <f>T("   Orgues à tuyaux et à clavier; harmoniums et instruments simil. à clavier et à anches libres métalliques (autres qu'instruments à cordes)")</f>
        <v xml:space="preserve">   Orgues à tuyaux et à clavier; harmoniums et instruments simil. à clavier et à anches libres métalliques (autres qu'instruments à cordes)</v>
      </c>
      <c r="C9767">
        <v>116364</v>
      </c>
      <c r="D9767">
        <v>60</v>
      </c>
    </row>
    <row r="9768" spans="1:4" x14ac:dyDescent="0.25">
      <c r="A9768" t="str">
        <f>T("   920600")</f>
        <v xml:space="preserve">   920600</v>
      </c>
      <c r="B9768" t="str">
        <f>T("   INSTRUMENTS DE MUSIQUE À PERCUSSION, P.EX. TAMBOURS, CAISSES, XYLOPHONES, CYMBALES, CASTAGNETTES, MARACAS [01/01/1988-31/12/1994: TAMBOURS, CAISSES, XYLOPHONES, CYMBALES, CASTAGNETTES, MARACAS ET AUTRES INSTRUMENTS DE MUSIQUE A PERCUSSION]")</f>
        <v xml:space="preserve">   INSTRUMENTS DE MUSIQUE À PERCUSSION, P.EX. TAMBOURS, CAISSES, XYLOPHONES, CYMBALES, CASTAGNETTES, MARACAS [01/01/1988-31/12/1994: TAMBOURS, CAISSES, XYLOPHONES, CYMBALES, CASTAGNETTES, MARACAS ET AUTRES INSTRUMENTS DE MUSIQUE A PERCUSSION]</v>
      </c>
      <c r="C9768">
        <v>189091</v>
      </c>
      <c r="D9768">
        <v>135</v>
      </c>
    </row>
    <row r="9769" spans="1:4" x14ac:dyDescent="0.25">
      <c r="A9769" t="str">
        <f>T("   940161")</f>
        <v xml:space="preserve">   940161</v>
      </c>
      <c r="B9769" t="str">
        <f>T("   Sièges, avec bâti en bois, rembourrés (non transformables en lits)")</f>
        <v xml:space="preserve">   Sièges, avec bâti en bois, rembourrés (non transformables en lits)</v>
      </c>
      <c r="C9769">
        <v>1534306</v>
      </c>
      <c r="D9769">
        <v>585</v>
      </c>
    </row>
    <row r="9770" spans="1:4" x14ac:dyDescent="0.25">
      <c r="A9770" t="str">
        <f>T("   940169")</f>
        <v xml:space="preserve">   940169</v>
      </c>
      <c r="B9770" t="str">
        <f>T("   Sièges, avec bâti en bois, non rembourrés")</f>
        <v xml:space="preserve">   Sièges, avec bâti en bois, non rembourrés</v>
      </c>
      <c r="C9770">
        <v>540248</v>
      </c>
      <c r="D9770">
        <v>2900</v>
      </c>
    </row>
    <row r="9771" spans="1:4" x14ac:dyDescent="0.25">
      <c r="A9771" t="str">
        <f>T("   940179")</f>
        <v xml:space="preserve">   940179</v>
      </c>
      <c r="B9771"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9771">
        <v>75635</v>
      </c>
      <c r="D9771">
        <v>740</v>
      </c>
    </row>
    <row r="9772" spans="1:4" x14ac:dyDescent="0.25">
      <c r="A9772" t="str">
        <f>T("   940180")</f>
        <v xml:space="preserve">   940180</v>
      </c>
      <c r="B9772" t="str">
        <f>T("   Sièges, n.d.a.")</f>
        <v xml:space="preserve">   Sièges, n.d.a.</v>
      </c>
      <c r="C9772">
        <v>12728437</v>
      </c>
      <c r="D9772">
        <v>53561</v>
      </c>
    </row>
    <row r="9773" spans="1:4" x14ac:dyDescent="0.25">
      <c r="A9773" t="str">
        <f>T("   940290")</f>
        <v xml:space="preserve">   940290</v>
      </c>
      <c r="B9773"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9773">
        <v>35180</v>
      </c>
      <c r="D9773">
        <v>50</v>
      </c>
    </row>
    <row r="9774" spans="1:4" x14ac:dyDescent="0.25">
      <c r="A9774" t="str">
        <f>T("   940310")</f>
        <v xml:space="preserve">   940310</v>
      </c>
      <c r="B9774" t="str">
        <f>T("   Meubles de bureau en métal (sauf sièges)")</f>
        <v xml:space="preserve">   Meubles de bureau en métal (sauf sièges)</v>
      </c>
      <c r="C9774">
        <v>3464928</v>
      </c>
      <c r="D9774">
        <v>10669</v>
      </c>
    </row>
    <row r="9775" spans="1:4" x14ac:dyDescent="0.25">
      <c r="A9775" t="str">
        <f>T("   940320")</f>
        <v xml:space="preserve">   940320</v>
      </c>
      <c r="B9775"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9775">
        <v>54025</v>
      </c>
      <c r="D9775">
        <v>30</v>
      </c>
    </row>
    <row r="9776" spans="1:4" x14ac:dyDescent="0.25">
      <c r="A9776" t="str">
        <f>T("   940330")</f>
        <v xml:space="preserve">   940330</v>
      </c>
      <c r="B9776" t="str">
        <f>T("   Meubles de bureau en bois (sauf sièges)")</f>
        <v xml:space="preserve">   Meubles de bureau en bois (sauf sièges)</v>
      </c>
      <c r="C9776">
        <v>19405663</v>
      </c>
      <c r="D9776">
        <v>38250</v>
      </c>
    </row>
    <row r="9777" spans="1:4" x14ac:dyDescent="0.25">
      <c r="A9777" t="str">
        <f>T("   940350")</f>
        <v xml:space="preserve">   940350</v>
      </c>
      <c r="B9777" t="str">
        <f>T("   Meubles pour chambres à coucher, en bois (sauf sièges)")</f>
        <v xml:space="preserve">   Meubles pour chambres à coucher, en bois (sauf sièges)</v>
      </c>
      <c r="C9777">
        <v>5627992</v>
      </c>
      <c r="D9777">
        <v>26094</v>
      </c>
    </row>
    <row r="9778" spans="1:4" x14ac:dyDescent="0.25">
      <c r="A9778" t="str">
        <f>T("   940360")</f>
        <v xml:space="preserve">   940360</v>
      </c>
      <c r="B9778" t="str">
        <f>T("   Meubles en bois (autres que pour bureaux, cuisines ou chambres à coucher et autres que sièges)")</f>
        <v xml:space="preserve">   Meubles en bois (autres que pour bureaux, cuisines ou chambres à coucher et autres que sièges)</v>
      </c>
      <c r="C9778">
        <v>69027028</v>
      </c>
      <c r="D9778">
        <v>228986</v>
      </c>
    </row>
    <row r="9779" spans="1:4" x14ac:dyDescent="0.25">
      <c r="A9779" t="str">
        <f>T("   940370")</f>
        <v xml:space="preserve">   940370</v>
      </c>
      <c r="B9779"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9779">
        <v>34998736</v>
      </c>
      <c r="D9779">
        <v>31620</v>
      </c>
    </row>
    <row r="9780" spans="1:4" x14ac:dyDescent="0.25">
      <c r="A9780" t="str">
        <f>T("   940380")</f>
        <v xml:space="preserve">   940380</v>
      </c>
      <c r="B9780" t="str">
        <f>T("   Meubles en rotin, osier, bambou ou autres matières (sauf métal, bois et matières plastiques)")</f>
        <v xml:space="preserve">   Meubles en rotin, osier, bambou ou autres matières (sauf métal, bois et matières plastiques)</v>
      </c>
      <c r="C9780">
        <v>7877138</v>
      </c>
      <c r="D9780">
        <v>30936</v>
      </c>
    </row>
    <row r="9781" spans="1:4" x14ac:dyDescent="0.25">
      <c r="A9781" t="str">
        <f>T("   940410")</f>
        <v xml:space="preserve">   940410</v>
      </c>
      <c r="B9781" t="str">
        <f>T("   Sommiers (sauf ressorts pour sièges)")</f>
        <v xml:space="preserve">   Sommiers (sauf ressorts pour sièges)</v>
      </c>
      <c r="C9781">
        <v>324068</v>
      </c>
      <c r="D9781">
        <v>119</v>
      </c>
    </row>
    <row r="9782" spans="1:4" x14ac:dyDescent="0.25">
      <c r="A9782" t="str">
        <f>T("   940421")</f>
        <v xml:space="preserve">   940421</v>
      </c>
      <c r="B9782" t="str">
        <f>T("   Matelas en caoutchouc alvéolaire ou en matières plastiques alvéolaires")</f>
        <v xml:space="preserve">   Matelas en caoutchouc alvéolaire ou en matières plastiques alvéolaires</v>
      </c>
      <c r="C9782">
        <v>9826908</v>
      </c>
      <c r="D9782">
        <v>23155</v>
      </c>
    </row>
    <row r="9783" spans="1:4" x14ac:dyDescent="0.25">
      <c r="A9783" t="str">
        <f>T("   940429")</f>
        <v xml:space="preserve">   940429</v>
      </c>
      <c r="B9783"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9783">
        <v>13598329</v>
      </c>
      <c r="D9783">
        <v>15260</v>
      </c>
    </row>
    <row r="9784" spans="1:4" x14ac:dyDescent="0.25">
      <c r="A9784" t="str">
        <f>T("   940490")</f>
        <v xml:space="preserve">   940490</v>
      </c>
      <c r="B9784" t="s">
        <v>505</v>
      </c>
      <c r="C9784">
        <v>7263667</v>
      </c>
      <c r="D9784">
        <v>26112</v>
      </c>
    </row>
    <row r="9785" spans="1:4" x14ac:dyDescent="0.25">
      <c r="A9785" t="str">
        <f>T("   940510")</f>
        <v xml:space="preserve">   940510</v>
      </c>
      <c r="B9785"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9785">
        <v>303539</v>
      </c>
      <c r="D9785">
        <v>2000</v>
      </c>
    </row>
    <row r="9786" spans="1:4" x14ac:dyDescent="0.25">
      <c r="A9786" t="str">
        <f>T("   940520")</f>
        <v xml:space="preserve">   940520</v>
      </c>
      <c r="B9786" t="str">
        <f>T("   Lampes de chevet, lampes de bureau et lampadaires d'intérieur, électriques")</f>
        <v xml:space="preserve">   Lampes de chevet, lampes de bureau et lampadaires d'intérieur, électriques</v>
      </c>
      <c r="C9786">
        <v>900000</v>
      </c>
      <c r="D9786">
        <v>3150</v>
      </c>
    </row>
    <row r="9787" spans="1:4" x14ac:dyDescent="0.25">
      <c r="A9787" t="str">
        <f>T("   940540")</f>
        <v xml:space="preserve">   940540</v>
      </c>
      <c r="B9787" t="str">
        <f>T("   Appareils d'éclairage électrique, n.d.a.")</f>
        <v xml:space="preserve">   Appareils d'éclairage électrique, n.d.a.</v>
      </c>
      <c r="C9787">
        <v>56726</v>
      </c>
      <c r="D9787">
        <v>110</v>
      </c>
    </row>
    <row r="9788" spans="1:4" x14ac:dyDescent="0.25">
      <c r="A9788" t="str">
        <f>T("   940592")</f>
        <v xml:space="preserve">   940592</v>
      </c>
      <c r="B9788" t="str">
        <f>T("   Parties en matières plastiques d'appareils d'éclairage, de lampes-réclames, d'enseignes lumineuses, de plaques indicatrices lumineuses, et simil., n.d.a.")</f>
        <v xml:space="preserve">   Parties en matières plastiques d'appareils d'éclairage, de lampes-réclames, d'enseignes lumineuses, de plaques indicatrices lumineuses, et simil., n.d.a.</v>
      </c>
      <c r="C9788">
        <v>331707</v>
      </c>
      <c r="D9788">
        <v>1990</v>
      </c>
    </row>
    <row r="9789" spans="1:4" x14ac:dyDescent="0.25">
      <c r="A9789" t="str">
        <f>T("   950100")</f>
        <v xml:space="preserve">   950100</v>
      </c>
      <c r="B9789"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9789">
        <v>521397</v>
      </c>
      <c r="D9789">
        <v>4297</v>
      </c>
    </row>
    <row r="9790" spans="1:4" x14ac:dyDescent="0.25">
      <c r="A9790" t="str">
        <f>T("   950210")</f>
        <v xml:space="preserve">   950210</v>
      </c>
      <c r="B9790" t="str">
        <f>T("   Poupées représentant uniquement l'être humain, habillées ou non")</f>
        <v xml:space="preserve">   Poupées représentant uniquement l'être humain, habillées ou non</v>
      </c>
      <c r="C9790">
        <v>2362665</v>
      </c>
      <c r="D9790">
        <v>8270</v>
      </c>
    </row>
    <row r="9791" spans="1:4" x14ac:dyDescent="0.25">
      <c r="A9791" t="str">
        <f>T("   950349")</f>
        <v xml:space="preserve">   950349</v>
      </c>
      <c r="B9791" t="str">
        <f>T("   JOUETS REPRÉSENTANT DES ANIMAUX OU DES CRÉATURES NON-HUMAINES, NON-REMBOURRÉS")</f>
        <v xml:space="preserve">   JOUETS REPRÉSENTANT DES ANIMAUX OU DES CRÉATURES NON-HUMAINES, NON-REMBOURRÉS</v>
      </c>
      <c r="C9791">
        <v>5422013</v>
      </c>
      <c r="D9791">
        <v>4275</v>
      </c>
    </row>
    <row r="9792" spans="1:4" x14ac:dyDescent="0.25">
      <c r="A9792" t="str">
        <f>T("   950360")</f>
        <v xml:space="preserve">   950360</v>
      </c>
      <c r="B9792" t="str">
        <f>T("   PUZZLES")</f>
        <v xml:space="preserve">   PUZZLES</v>
      </c>
      <c r="C9792">
        <v>1710829</v>
      </c>
      <c r="D9792">
        <v>2010</v>
      </c>
    </row>
    <row r="9793" spans="1:4" x14ac:dyDescent="0.25">
      <c r="A9793" t="str">
        <f>T("   950390")</f>
        <v xml:space="preserve">   950390</v>
      </c>
      <c r="B9793" t="str">
        <f>T("   Jouets, n.d.a.")</f>
        <v xml:space="preserve">   Jouets, n.d.a.</v>
      </c>
      <c r="C9793">
        <v>28397183</v>
      </c>
      <c r="D9793">
        <v>55691</v>
      </c>
    </row>
    <row r="9794" spans="1:4" x14ac:dyDescent="0.25">
      <c r="A9794" t="str">
        <f>T("   950490")</f>
        <v xml:space="preserve">   950490</v>
      </c>
      <c r="B9794" t="s">
        <v>507</v>
      </c>
      <c r="C9794">
        <v>70469</v>
      </c>
      <c r="D9794">
        <v>70</v>
      </c>
    </row>
    <row r="9795" spans="1:4" x14ac:dyDescent="0.25">
      <c r="A9795" t="str">
        <f>T("   950510")</f>
        <v xml:space="preserve">   950510</v>
      </c>
      <c r="B9795" t="str">
        <f>T("   Articles pour fêtes de Noël (sauf bougies et guirlandes électriques)")</f>
        <v xml:space="preserve">   Articles pour fêtes de Noël (sauf bougies et guirlandes électriques)</v>
      </c>
      <c r="C9795">
        <v>4817656</v>
      </c>
      <c r="D9795">
        <v>11150</v>
      </c>
    </row>
    <row r="9796" spans="1:4" x14ac:dyDescent="0.25">
      <c r="A9796" t="str">
        <f>T("   950590")</f>
        <v xml:space="preserve">   950590</v>
      </c>
      <c r="B9796" t="str">
        <f>T("   Articles pour fêtes, carnaval ou autres divertissements, y.c. les articles de magie et articles-surprises, n.d.a.")</f>
        <v xml:space="preserve">   Articles pour fêtes, carnaval ou autres divertissements, y.c. les articles de magie et articles-surprises, n.d.a.</v>
      </c>
      <c r="C9796">
        <v>99757</v>
      </c>
      <c r="D9796">
        <v>1487</v>
      </c>
    </row>
    <row r="9797" spans="1:4" x14ac:dyDescent="0.25">
      <c r="A9797" t="str">
        <f>T("   950619")</f>
        <v xml:space="preserve">   950619</v>
      </c>
      <c r="B9797" t="str">
        <f>T("   MATÉRIEL POUR LA PRATIQUE DU SKI DE NEIGE (À L'EXCL. DES SKIS ET DES FIXATIONS POUR SKIS) [01/01/1988-31/12/1994: MATERIEL POUR LA PRATIQUE DU SKI DE NEIGE, (SAUF SKIS ET FIXATIONS)]")</f>
        <v xml:space="preserve">   MATÉRIEL POUR LA PRATIQUE DU SKI DE NEIGE (À L'EXCL. DES SKIS ET DES FIXATIONS POUR SKIS) [01/01/1988-31/12/1994: MATERIEL POUR LA PRATIQUE DU SKI DE NEIGE, (SAUF SKIS ET FIXATIONS)]</v>
      </c>
      <c r="C9797">
        <v>108050</v>
      </c>
      <c r="D9797">
        <v>390</v>
      </c>
    </row>
    <row r="9798" spans="1:4" x14ac:dyDescent="0.25">
      <c r="A9798" t="str">
        <f>T("   950669")</f>
        <v xml:space="preserve">   950669</v>
      </c>
      <c r="B9798" t="str">
        <f>T("   Ballons et balles (autres que gonflables et autres que balles de golf ou de tennis de table)")</f>
        <v xml:space="preserve">   Ballons et balles (autres que gonflables et autres que balles de golf ou de tennis de table)</v>
      </c>
      <c r="C9798">
        <v>118940</v>
      </c>
      <c r="D9798">
        <v>155</v>
      </c>
    </row>
    <row r="9799" spans="1:4" x14ac:dyDescent="0.25">
      <c r="A9799" t="str">
        <f>T("   950691")</f>
        <v xml:space="preserve">   950691</v>
      </c>
      <c r="B9799" t="str">
        <f>T("   Articles et matériel pour la culture physique, la gymnastique ou l'athlétisme")</f>
        <v xml:space="preserve">   Articles et matériel pour la culture physique, la gymnastique ou l'athlétisme</v>
      </c>
      <c r="C9799">
        <v>130096</v>
      </c>
      <c r="D9799">
        <v>300</v>
      </c>
    </row>
    <row r="9800" spans="1:4" x14ac:dyDescent="0.25">
      <c r="A9800" t="str">
        <f>T("   950699")</f>
        <v xml:space="preserve">   950699</v>
      </c>
      <c r="B9800" t="str">
        <f>T("   Articles et matériel pour le sport et les jeux de plein air, n.d.a.; piscines et pataugeoires")</f>
        <v xml:space="preserve">   Articles et matériel pour le sport et les jeux de plein air, n.d.a.; piscines et pataugeoires</v>
      </c>
      <c r="C9800">
        <v>350081</v>
      </c>
      <c r="D9800">
        <v>410</v>
      </c>
    </row>
    <row r="9801" spans="1:4" x14ac:dyDescent="0.25">
      <c r="A9801" t="str">
        <f>T("   950890")</f>
        <v xml:space="preserve">   950890</v>
      </c>
      <c r="B9801" t="s">
        <v>508</v>
      </c>
      <c r="C9801">
        <v>64830</v>
      </c>
      <c r="D9801">
        <v>80</v>
      </c>
    </row>
    <row r="9802" spans="1:4" x14ac:dyDescent="0.25">
      <c r="A9802" t="str">
        <f>T("   960321")</f>
        <v xml:space="preserve">   960321</v>
      </c>
      <c r="B9802" t="str">
        <f>T("   Brosses à dent, y.c. brosses à prothèses dentaires")</f>
        <v xml:space="preserve">   Brosses à dent, y.c. brosses à prothèses dentaires</v>
      </c>
      <c r="C9802">
        <v>1367350</v>
      </c>
      <c r="D9802">
        <v>2803</v>
      </c>
    </row>
    <row r="9803" spans="1:4" x14ac:dyDescent="0.25">
      <c r="A9803" t="str">
        <f>T("   960329")</f>
        <v xml:space="preserve">   960329</v>
      </c>
      <c r="B9803"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9803">
        <v>86440</v>
      </c>
      <c r="D9803">
        <v>320</v>
      </c>
    </row>
    <row r="9804" spans="1:4" x14ac:dyDescent="0.25">
      <c r="A9804" t="str">
        <f>T("   960390")</f>
        <v xml:space="preserve">   960390</v>
      </c>
      <c r="B9804"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9804">
        <v>51965</v>
      </c>
      <c r="D9804">
        <v>360</v>
      </c>
    </row>
    <row r="9805" spans="1:4" x14ac:dyDescent="0.25">
      <c r="A9805" t="str">
        <f>T("   960610")</f>
        <v xml:space="preserve">   960610</v>
      </c>
      <c r="B9805" t="str">
        <f>T("   Boutons-pression et leurs parties")</f>
        <v xml:space="preserve">   Boutons-pression et leurs parties</v>
      </c>
      <c r="C9805">
        <v>2537922</v>
      </c>
      <c r="D9805">
        <v>10440</v>
      </c>
    </row>
    <row r="9806" spans="1:4" x14ac:dyDescent="0.25">
      <c r="A9806" t="str">
        <f>T("   960629")</f>
        <v xml:space="preserve">   960629</v>
      </c>
      <c r="B9806" t="str">
        <f>T("   Boutons (sauf boutons en matières plastiques ou en métaux communs, non recouverts de matières textiles, boutons-pressions et boutons de manchette)")</f>
        <v xml:space="preserve">   Boutons (sauf boutons en matières plastiques ou en métaux communs, non recouverts de matières textiles, boutons-pressions et boutons de manchette)</v>
      </c>
      <c r="C9806">
        <v>8412338</v>
      </c>
      <c r="D9806">
        <v>14465</v>
      </c>
    </row>
    <row r="9807" spans="1:4" x14ac:dyDescent="0.25">
      <c r="A9807" t="str">
        <f>T("   960810")</f>
        <v xml:space="preserve">   960810</v>
      </c>
      <c r="B9807" t="str">
        <f>T("   Stylos et crayons à bille")</f>
        <v xml:space="preserve">   Stylos et crayons à bille</v>
      </c>
      <c r="C9807">
        <v>1742830</v>
      </c>
      <c r="D9807">
        <v>1400</v>
      </c>
    </row>
    <row r="9808" spans="1:4" x14ac:dyDescent="0.25">
      <c r="A9808" t="str">
        <f>T("   960910")</f>
        <v xml:space="preserve">   960910</v>
      </c>
      <c r="B9808" t="str">
        <f>T("   Crayons à gaine")</f>
        <v xml:space="preserve">   Crayons à gaine</v>
      </c>
      <c r="C9808">
        <v>54025</v>
      </c>
      <c r="D9808">
        <v>150</v>
      </c>
    </row>
    <row r="9809" spans="1:4" x14ac:dyDescent="0.25">
      <c r="A9809" t="str">
        <f>T("   960920")</f>
        <v xml:space="preserve">   960920</v>
      </c>
      <c r="B9809" t="str">
        <f>T("   Mines pour crayons ou porte-mine")</f>
        <v xml:space="preserve">   Mines pour crayons ou porte-mine</v>
      </c>
      <c r="C9809">
        <v>27610</v>
      </c>
      <c r="D9809">
        <v>170</v>
      </c>
    </row>
    <row r="9810" spans="1:4" x14ac:dyDescent="0.25">
      <c r="A9810" t="str">
        <f>T("   961590")</f>
        <v xml:space="preserve">   961590</v>
      </c>
      <c r="B9810" t="str">
        <f>T("   Epingles à cheveux; pince-guiches, ondulateurs, bigoudis et articles pour la coiffure (autres que ceux du n° 8516); parties")</f>
        <v xml:space="preserve">   Epingles à cheveux; pince-guiches, ondulateurs, bigoudis et articles pour la coiffure (autres que ceux du n° 8516); parties</v>
      </c>
      <c r="C9810">
        <v>301815</v>
      </c>
      <c r="D9810">
        <v>290</v>
      </c>
    </row>
    <row r="9811" spans="1:4" x14ac:dyDescent="0.25">
      <c r="A9811" t="str">
        <f>T("   961700")</f>
        <v xml:space="preserve">   961700</v>
      </c>
      <c r="B9811"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9811">
        <v>2338839</v>
      </c>
      <c r="D9811">
        <v>7274</v>
      </c>
    </row>
    <row r="9812" spans="1:4" x14ac:dyDescent="0.25">
      <c r="A9812" t="str">
        <f>T("   961800")</f>
        <v xml:space="preserve">   961800</v>
      </c>
      <c r="B9812"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9812">
        <v>216100</v>
      </c>
      <c r="D9812">
        <v>420</v>
      </c>
    </row>
    <row r="9813" spans="1:4" x14ac:dyDescent="0.25">
      <c r="A9813" t="str">
        <f>T("TH")</f>
        <v>TH</v>
      </c>
      <c r="B9813" t="str">
        <f>T("Thaïlande")</f>
        <v>Thaïlande</v>
      </c>
    </row>
    <row r="9814" spans="1:4" x14ac:dyDescent="0.25">
      <c r="A9814" t="str">
        <f>T("   ZZ_Total_Produit_SH6")</f>
        <v xml:space="preserve">   ZZ_Total_Produit_SH6</v>
      </c>
      <c r="B9814" t="str">
        <f>T("   ZZ_Total_Produit_SH6")</f>
        <v xml:space="preserve">   ZZ_Total_Produit_SH6</v>
      </c>
      <c r="C9814">
        <v>42477574358.893997</v>
      </c>
      <c r="D9814">
        <v>153824124</v>
      </c>
    </row>
    <row r="9815" spans="1:4" x14ac:dyDescent="0.25">
      <c r="A9815" t="str">
        <f>T("   071239")</f>
        <v xml:space="preserve">   071239</v>
      </c>
      <c r="B9815" t="str">
        <f>T("   Champignons et truffes, séchés, même coupés en morceaux ou en tranches ou bien broyés ou pulvérisés, mais non autrement préparés (à l'excl. des champignons du genre 'Agaricus', des oreilles-de-Judas 'Auricularia spp.' et des trémelles 'Tremella spp.')")</f>
        <v xml:space="preserve">   Champignons et truffes, séchés, même coupés en morceaux ou en tranches ou bien broyés ou pulvérisés, mais non autrement préparés (à l'excl. des champignons du genre 'Agaricus', des oreilles-de-Judas 'Auricularia spp.' et des trémelles 'Tremella spp.')</v>
      </c>
      <c r="C9815">
        <v>740116</v>
      </c>
      <c r="D9815">
        <v>1291</v>
      </c>
    </row>
    <row r="9816" spans="1:4" x14ac:dyDescent="0.25">
      <c r="A9816" t="str">
        <f>T("   090210")</f>
        <v xml:space="preserve">   090210</v>
      </c>
      <c r="B9816" t="str">
        <f>T("   Thé vert [thé non fermenté], présenté en emballages immédiats d'un contenu &lt;= 3 kg")</f>
        <v xml:space="preserve">   Thé vert [thé non fermenté], présenté en emballages immédiats d'un contenu &lt;= 3 kg</v>
      </c>
      <c r="C9816">
        <v>1221283</v>
      </c>
      <c r="D9816">
        <v>745</v>
      </c>
    </row>
    <row r="9817" spans="1:4" x14ac:dyDescent="0.25">
      <c r="A9817" t="str">
        <f>T("   100610")</f>
        <v xml:space="preserve">   100610</v>
      </c>
      <c r="B9817" t="str">
        <f>T("   Riz en paille [riz paddy]")</f>
        <v xml:space="preserve">   Riz en paille [riz paddy]</v>
      </c>
      <c r="C9817">
        <v>12255000</v>
      </c>
      <c r="D9817">
        <v>245100</v>
      </c>
    </row>
    <row r="9818" spans="1:4" x14ac:dyDescent="0.25">
      <c r="A9818" t="str">
        <f>T("   100620")</f>
        <v xml:space="preserve">   100620</v>
      </c>
      <c r="B9818" t="str">
        <f>T("   Riz décortiqué [riz cargo ou riz brun]")</f>
        <v xml:space="preserve">   Riz décortiqué [riz cargo ou riz brun]</v>
      </c>
      <c r="C9818">
        <v>1305856172.7550001</v>
      </c>
      <c r="D9818">
        <v>4468543</v>
      </c>
    </row>
    <row r="9819" spans="1:4" x14ac:dyDescent="0.25">
      <c r="A9819" t="str">
        <f>T("   100630")</f>
        <v xml:space="preserve">   100630</v>
      </c>
      <c r="B9819" t="str">
        <f>T("   Riz semi-blanchi ou blanchi, même poli ou glacé")</f>
        <v xml:space="preserve">   Riz semi-blanchi ou blanchi, même poli ou glacé</v>
      </c>
      <c r="C9819">
        <v>38468216673.695999</v>
      </c>
      <c r="D9819">
        <v>141926811</v>
      </c>
    </row>
    <row r="9820" spans="1:4" x14ac:dyDescent="0.25">
      <c r="A9820" t="str">
        <f>T("   100640")</f>
        <v xml:space="preserve">   100640</v>
      </c>
      <c r="B9820" t="str">
        <f>T("   Riz en brisures")</f>
        <v xml:space="preserve">   Riz en brisures</v>
      </c>
      <c r="C9820">
        <v>1611338807.033</v>
      </c>
      <c r="D9820">
        <v>5820938</v>
      </c>
    </row>
    <row r="9821" spans="1:4" x14ac:dyDescent="0.25">
      <c r="A9821" t="str">
        <f>T("   110220")</f>
        <v xml:space="preserve">   110220</v>
      </c>
      <c r="B9821" t="str">
        <f>T("   Farine de maïs")</f>
        <v xml:space="preserve">   Farine de maïs</v>
      </c>
      <c r="C9821">
        <v>158186</v>
      </c>
      <c r="D9821">
        <v>276</v>
      </c>
    </row>
    <row r="9822" spans="1:4" x14ac:dyDescent="0.25">
      <c r="A9822" t="str">
        <f>T("   150790")</f>
        <v xml:space="preserve">   150790</v>
      </c>
      <c r="B9822" t="str">
        <f>T("   Huile de soja et ses fractions, même raffinées, mais non chimiquement modifiées (à l'excl. de l'huile de soja brute)")</f>
        <v xml:space="preserve">   Huile de soja et ses fractions, même raffinées, mais non chimiquement modifiées (à l'excl. de l'huile de soja brute)</v>
      </c>
      <c r="C9822">
        <v>318000</v>
      </c>
      <c r="D9822">
        <v>1272</v>
      </c>
    </row>
    <row r="9823" spans="1:4" x14ac:dyDescent="0.25">
      <c r="A9823" t="str">
        <f>T("   170199")</f>
        <v xml:space="preserve">   170199</v>
      </c>
      <c r="B9823"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9823">
        <v>17103952.409000002</v>
      </c>
      <c r="D9823">
        <v>70500</v>
      </c>
    </row>
    <row r="9824" spans="1:4" x14ac:dyDescent="0.25">
      <c r="A9824" t="str">
        <f>T("   190219")</f>
        <v xml:space="preserve">   190219</v>
      </c>
      <c r="B9824" t="str">
        <f>T("   PÂTES ALIMENTAIRES NON-CUITES NI FARCIES NI AUTREMENT PRÉPARÉES, NE CONTENANT PAS D'OEUFS")</f>
        <v xml:space="preserve">   PÂTES ALIMENTAIRES NON-CUITES NI FARCIES NI AUTREMENT PRÉPARÉES, NE CONTENANT PAS D'OEUFS</v>
      </c>
      <c r="C9824">
        <v>1201730</v>
      </c>
      <c r="D9824">
        <v>2096</v>
      </c>
    </row>
    <row r="9825" spans="1:4" x14ac:dyDescent="0.25">
      <c r="A9825" t="str">
        <f>T("   190531")</f>
        <v xml:space="preserve">   190531</v>
      </c>
      <c r="B9825" t="str">
        <f>T("   Biscuits additionnés d'édulcorants")</f>
        <v xml:space="preserve">   Biscuits additionnés d'édulcorants</v>
      </c>
      <c r="C9825">
        <v>16319950</v>
      </c>
      <c r="D9825">
        <v>34267</v>
      </c>
    </row>
    <row r="9826" spans="1:4" x14ac:dyDescent="0.25">
      <c r="A9826" t="str">
        <f>T("   200590")</f>
        <v xml:space="preserve">   200590</v>
      </c>
      <c r="B9826" t="s">
        <v>53</v>
      </c>
      <c r="C9826">
        <v>255973</v>
      </c>
      <c r="D9826">
        <v>446</v>
      </c>
    </row>
    <row r="9827" spans="1:4" x14ac:dyDescent="0.25">
      <c r="A9827" t="str">
        <f>T("   200899")</f>
        <v xml:space="preserve">   200899</v>
      </c>
      <c r="B9827" t="s">
        <v>59</v>
      </c>
      <c r="C9827">
        <v>252138</v>
      </c>
      <c r="D9827">
        <v>440</v>
      </c>
    </row>
    <row r="9828" spans="1:4" x14ac:dyDescent="0.25">
      <c r="A9828" t="str">
        <f>T("   210390")</f>
        <v xml:space="preserve">   210390</v>
      </c>
      <c r="B9828"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9828">
        <v>1066554</v>
      </c>
      <c r="D9828">
        <v>1861</v>
      </c>
    </row>
    <row r="9829" spans="1:4" x14ac:dyDescent="0.25">
      <c r="A9829" t="str">
        <f>T("   210690")</f>
        <v xml:space="preserve">   210690</v>
      </c>
      <c r="B9829" t="str">
        <f>T("   Préparations alimentaires, n.d.a.")</f>
        <v xml:space="preserve">   Préparations alimentaires, n.d.a.</v>
      </c>
      <c r="C9829">
        <v>1543028</v>
      </c>
      <c r="D9829">
        <v>2692</v>
      </c>
    </row>
    <row r="9830" spans="1:4" x14ac:dyDescent="0.25">
      <c r="A9830" t="str">
        <f>T("   220290")</f>
        <v xml:space="preserve">   220290</v>
      </c>
      <c r="B9830" t="str">
        <f>T("   BOISSONS NON-ALCOOLIQUES (À L'EXCL. DES EAUX, DES JUS DE FRUITS OU DE LÉGUMES AINSI QUE DU LAIT)")</f>
        <v xml:space="preserve">   BOISSONS NON-ALCOOLIQUES (À L'EXCL. DES EAUX, DES JUS DE FRUITS OU DE LÉGUMES AINSI QUE DU LAIT)</v>
      </c>
      <c r="C9830">
        <v>12889244</v>
      </c>
      <c r="D9830">
        <v>22760</v>
      </c>
    </row>
    <row r="9831" spans="1:4" x14ac:dyDescent="0.25">
      <c r="A9831" t="str">
        <f>T("   230220")</f>
        <v xml:space="preserve">   230220</v>
      </c>
      <c r="B9831" t="str">
        <f>T("   Sons, remoulages et autres résidus, même agglomérés sous forme de pellets, du criblage, de la mouture ou d'autres traitements du riz")</f>
        <v xml:space="preserve">   Sons, remoulages et autres résidus, même agglomérés sous forme de pellets, du criblage, de la mouture ou d'autres traitements du riz</v>
      </c>
      <c r="C9831">
        <v>500000</v>
      </c>
      <c r="D9831">
        <v>1200</v>
      </c>
    </row>
    <row r="9832" spans="1:4" x14ac:dyDescent="0.25">
      <c r="A9832" t="str">
        <f>T("   292242")</f>
        <v xml:space="preserve">   292242</v>
      </c>
      <c r="B9832" t="str">
        <f>T("   Acide glutamique et ses sels")</f>
        <v xml:space="preserve">   Acide glutamique et ses sels</v>
      </c>
      <c r="C9832">
        <v>131342</v>
      </c>
      <c r="D9832">
        <v>229</v>
      </c>
    </row>
    <row r="9833" spans="1:4" x14ac:dyDescent="0.25">
      <c r="A9833" t="str">
        <f>T("   330499")</f>
        <v xml:space="preserve">   330499</v>
      </c>
      <c r="B9833" t="s">
        <v>97</v>
      </c>
      <c r="C9833">
        <v>2157774</v>
      </c>
      <c r="D9833">
        <v>5960</v>
      </c>
    </row>
    <row r="9834" spans="1:4" x14ac:dyDescent="0.25">
      <c r="A9834" t="str">
        <f>T("   340111")</f>
        <v xml:space="preserve">   340111</v>
      </c>
      <c r="B9834" t="s">
        <v>98</v>
      </c>
      <c r="C9834">
        <v>9891355</v>
      </c>
      <c r="D9834">
        <v>22380</v>
      </c>
    </row>
    <row r="9835" spans="1:4" x14ac:dyDescent="0.25">
      <c r="A9835" t="str">
        <f>T("   390120")</f>
        <v xml:space="preserve">   390120</v>
      </c>
      <c r="B9835" t="str">
        <f>T("   Polyéthylène d'une densité &gt;= 0,94, sous formes primaires")</f>
        <v xml:space="preserve">   Polyéthylène d'une densité &gt;= 0,94, sous formes primaires</v>
      </c>
      <c r="C9835">
        <v>27644115</v>
      </c>
      <c r="D9835">
        <v>36500</v>
      </c>
    </row>
    <row r="9836" spans="1:4" x14ac:dyDescent="0.25">
      <c r="A9836" t="str">
        <f>T("   392329")</f>
        <v xml:space="preserve">   392329</v>
      </c>
      <c r="B9836" t="str">
        <f>T("   Sacs, sachets, pochettes et cornets, en matières plastiques (autres que les polymères de l'éthylène)")</f>
        <v xml:space="preserve">   Sacs, sachets, pochettes et cornets, en matières plastiques (autres que les polymères de l'éthylène)</v>
      </c>
      <c r="C9836">
        <v>12613343</v>
      </c>
      <c r="D9836">
        <v>4064</v>
      </c>
    </row>
    <row r="9837" spans="1:4" x14ac:dyDescent="0.25">
      <c r="A9837" t="str">
        <f>T("   392410")</f>
        <v xml:space="preserve">   392410</v>
      </c>
      <c r="B9837" t="str">
        <f>T("   Vaisselle et autres articles pour le service de la table ou de la cuisine, en matières plastiques")</f>
        <v xml:space="preserve">   Vaisselle et autres articles pour le service de la table ou de la cuisine, en matières plastiques</v>
      </c>
      <c r="C9837">
        <v>443878</v>
      </c>
      <c r="D9837">
        <v>2180</v>
      </c>
    </row>
    <row r="9838" spans="1:4" x14ac:dyDescent="0.25">
      <c r="A9838" t="str">
        <f>T("   401490")</f>
        <v xml:space="preserve">   401490</v>
      </c>
      <c r="B9838" t="str">
        <f>T("   ARTICLES D'HYGIÈNE OU DE PHARMACIE, Y.C. LES TÉTINES, EN CAOUTCHOUC VULCANISÉ NON-DURCI, MÊME AVEC PARTIES EN CAOUTCHOUC DURCI, N.D.A. (À L'EXCL. DES PRÉSERVATIFS AINSI QUE DES VÊTEMENTS ET ACCESSOIRES DU VÊTEMENT, Y.C. LES GANTS, POUR TOUS USAGES)")</f>
        <v xml:space="preserve">   ARTICLES D'HYGIÈNE OU DE PHARMACIE, Y.C. LES TÉTINES, EN CAOUTCHOUC VULCANISÉ NON-DURCI, MÊME AVEC PARTIES EN CAOUTCHOUC DURCI, N.D.A. (À L'EXCL. DES PRÉSERVATIFS AINSI QUE DES VÊTEMENTS ET ACCESSOIRES DU VÊTEMENT, Y.C. LES GANTS, POUR TOUS USAGES)</v>
      </c>
      <c r="C9838">
        <v>480788</v>
      </c>
      <c r="D9838">
        <v>720</v>
      </c>
    </row>
    <row r="9839" spans="1:4" x14ac:dyDescent="0.25">
      <c r="A9839" t="str">
        <f>T("   480256")</f>
        <v xml:space="preserve">   480256</v>
      </c>
      <c r="B9839" t="s">
        <v>188</v>
      </c>
      <c r="C9839">
        <v>9160820</v>
      </c>
      <c r="D9839">
        <v>18300</v>
      </c>
    </row>
    <row r="9840" spans="1:4" x14ac:dyDescent="0.25">
      <c r="A9840" t="str">
        <f>T("   482390")</f>
        <v xml:space="preserve">   482390</v>
      </c>
      <c r="B9840" t="s">
        <v>216</v>
      </c>
      <c r="C9840">
        <v>853722</v>
      </c>
      <c r="D9840">
        <v>1489</v>
      </c>
    </row>
    <row r="9841" spans="1:4" x14ac:dyDescent="0.25">
      <c r="A9841" t="str">
        <f>T("   490900")</f>
        <v xml:space="preserve">   490900</v>
      </c>
      <c r="B9841"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9841">
        <v>59919</v>
      </c>
      <c r="D9841">
        <v>12</v>
      </c>
    </row>
    <row r="9842" spans="1:4" x14ac:dyDescent="0.25">
      <c r="A9842" t="str">
        <f>T("   520851")</f>
        <v xml:space="preserve">   520851</v>
      </c>
      <c r="B9842" t="str">
        <f>T("   Tissus de coton, imprimés, à armure toile, contenant &gt;= 85% en poids de coton, d'un poids &lt;= 100 g/m²")</f>
        <v xml:space="preserve">   Tissus de coton, imprimés, à armure toile, contenant &gt;= 85% en poids de coton, d'un poids &lt;= 100 g/m²</v>
      </c>
      <c r="C9842">
        <v>20000399</v>
      </c>
      <c r="D9842">
        <v>17700</v>
      </c>
    </row>
    <row r="9843" spans="1:4" x14ac:dyDescent="0.25">
      <c r="A9843" t="str">
        <f>T("   520852")</f>
        <v xml:space="preserve">   520852</v>
      </c>
      <c r="B9843" t="str">
        <f>T("   Tissus de coton, imprimés, à armure toile, contenant &gt;= 85% en poids de coton, d'un poids &gt; 100 g/m² mais &lt;= 200 g/m²")</f>
        <v xml:space="preserve">   Tissus de coton, imprimés, à armure toile, contenant &gt;= 85% en poids de coton, d'un poids &gt; 100 g/m² mais &lt;= 200 g/m²</v>
      </c>
      <c r="C9843">
        <v>619236363</v>
      </c>
      <c r="D9843">
        <v>609116</v>
      </c>
    </row>
    <row r="9844" spans="1:4" x14ac:dyDescent="0.25">
      <c r="A9844" t="str">
        <f>T("   611110")</f>
        <v xml:space="preserve">   611110</v>
      </c>
      <c r="B9844" t="str">
        <f>T("   Vêtements et accessoires du vêtement, en bonneterie, de laine ou de poils fins, pour bébés (sauf bonnets)")</f>
        <v xml:space="preserve">   Vêtements et accessoires du vêtement, en bonneterie, de laine ou de poils fins, pour bébés (sauf bonnets)</v>
      </c>
      <c r="C9844">
        <v>4035681</v>
      </c>
      <c r="D9844">
        <v>1320</v>
      </c>
    </row>
    <row r="9845" spans="1:4" x14ac:dyDescent="0.25">
      <c r="A9845" t="str">
        <f>T("   611120")</f>
        <v xml:space="preserve">   611120</v>
      </c>
      <c r="B9845" t="str">
        <f>T("   Vêtements et accessoires du vêtement, en bonneterie, de coton, pour bébés (sauf gants et bonnets)")</f>
        <v xml:space="preserve">   Vêtements et accessoires du vêtement, en bonneterie, de coton, pour bébés (sauf gants et bonnets)</v>
      </c>
      <c r="C9845">
        <v>1829679</v>
      </c>
      <c r="D9845">
        <v>490</v>
      </c>
    </row>
    <row r="9846" spans="1:4" x14ac:dyDescent="0.25">
      <c r="A9846" t="str">
        <f>T("   630140")</f>
        <v xml:space="preserve">   630140</v>
      </c>
      <c r="B9846" t="str">
        <f>T("   Couvertures de fibres synthétiques (autres que chauffantes électriques et sauf linge de table, couvre-lits, linge de lit et les articles simil. du n° 9404 [sommiers et autres articles de literie])")</f>
        <v xml:space="preserve">   Couvertures de fibres synthétiques (autres que chauffantes électriques et sauf linge de table, couvre-lits, linge de lit et les articles simil. du n° 9404 [sommiers et autres articles de literie])</v>
      </c>
      <c r="C9846">
        <v>472495</v>
      </c>
      <c r="D9846">
        <v>315</v>
      </c>
    </row>
    <row r="9847" spans="1:4" x14ac:dyDescent="0.25">
      <c r="A9847" t="str">
        <f>T("   630532")</f>
        <v xml:space="preserve">   630532</v>
      </c>
      <c r="B9847" t="str">
        <f>T("   Contenants souples d'emballage pour matières en vrac, de matières textiles synthétiques ou artificielles")</f>
        <v xml:space="preserve">   Contenants souples d'emballage pour matières en vrac, de matières textiles synthétiques ou artificielles</v>
      </c>
      <c r="C9847">
        <v>209474</v>
      </c>
      <c r="D9847">
        <v>280</v>
      </c>
    </row>
    <row r="9848" spans="1:4" x14ac:dyDescent="0.25">
      <c r="A9848" t="str">
        <f>T("   630533")</f>
        <v xml:space="preserve">   630533</v>
      </c>
      <c r="B9848"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9848">
        <v>1344112</v>
      </c>
      <c r="D9848">
        <v>305435</v>
      </c>
    </row>
    <row r="9849" spans="1:4" x14ac:dyDescent="0.25">
      <c r="A9849" t="str">
        <f>T("   630900")</f>
        <v xml:space="preserve">   630900</v>
      </c>
      <c r="B9849" t="s">
        <v>273</v>
      </c>
      <c r="C9849">
        <v>7500247</v>
      </c>
      <c r="D9849">
        <v>15000</v>
      </c>
    </row>
    <row r="9850" spans="1:4" x14ac:dyDescent="0.25">
      <c r="A9850" t="str">
        <f>T("   640590")</f>
        <v xml:space="preserve">   640590</v>
      </c>
      <c r="B9850" t="s">
        <v>283</v>
      </c>
      <c r="C9850">
        <v>161961</v>
      </c>
      <c r="D9850">
        <v>330</v>
      </c>
    </row>
    <row r="9851" spans="1:4" x14ac:dyDescent="0.25">
      <c r="A9851" t="str">
        <f>T("   650590")</f>
        <v xml:space="preserve">   650590</v>
      </c>
      <c r="B9851" t="s">
        <v>284</v>
      </c>
      <c r="C9851">
        <v>525368</v>
      </c>
      <c r="D9851">
        <v>10</v>
      </c>
    </row>
    <row r="9852" spans="1:4" x14ac:dyDescent="0.25">
      <c r="A9852" t="str">
        <f>T("   731100")</f>
        <v xml:space="preserve">   731100</v>
      </c>
      <c r="B9852"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9852">
        <v>172314323</v>
      </c>
      <c r="D9852">
        <v>137654</v>
      </c>
    </row>
    <row r="9853" spans="1:4" x14ac:dyDescent="0.25">
      <c r="A9853" t="str">
        <f>T("   732111")</f>
        <v xml:space="preserve">   732111</v>
      </c>
      <c r="B9853" t="s">
        <v>356</v>
      </c>
      <c r="C9853">
        <v>110250</v>
      </c>
      <c r="D9853">
        <v>28</v>
      </c>
    </row>
    <row r="9854" spans="1:4" x14ac:dyDescent="0.25">
      <c r="A9854" t="str">
        <f>T("   841510")</f>
        <v xml:space="preserve">   841510</v>
      </c>
      <c r="B9854" t="s">
        <v>400</v>
      </c>
      <c r="C9854">
        <v>9153714</v>
      </c>
      <c r="D9854">
        <v>5067</v>
      </c>
    </row>
    <row r="9855" spans="1:4" x14ac:dyDescent="0.25">
      <c r="A9855" t="str">
        <f>T("   841810")</f>
        <v xml:space="preserve">   841810</v>
      </c>
      <c r="B9855" t="str">
        <f>T("   Réfrigérateurs et congélateurs-conservateurs combinés, avec portes extérieures séparées")</f>
        <v xml:space="preserve">   Réfrigérateurs et congélateurs-conservateurs combinés, avec portes extérieures séparées</v>
      </c>
      <c r="C9855">
        <v>20925545</v>
      </c>
      <c r="D9855">
        <v>8147</v>
      </c>
    </row>
    <row r="9856" spans="1:4" x14ac:dyDescent="0.25">
      <c r="A9856" t="str">
        <f>T("   841829")</f>
        <v xml:space="preserve">   841829</v>
      </c>
      <c r="B9856" t="str">
        <f>T("   Réfrigérateurs ménagers à absorption, non-électriques")</f>
        <v xml:space="preserve">   Réfrigérateurs ménagers à absorption, non-électriques</v>
      </c>
      <c r="C9856">
        <v>4886973</v>
      </c>
      <c r="D9856">
        <v>4221</v>
      </c>
    </row>
    <row r="9857" spans="1:4" x14ac:dyDescent="0.25">
      <c r="A9857" t="str">
        <f>T("   845019")</f>
        <v xml:space="preserve">   845019</v>
      </c>
      <c r="B9857"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9857">
        <v>10820967</v>
      </c>
      <c r="D9857">
        <v>4686</v>
      </c>
    </row>
    <row r="9858" spans="1:4" x14ac:dyDescent="0.25">
      <c r="A9858" t="str">
        <f>T("   847190")</f>
        <v xml:space="preserve">   847190</v>
      </c>
      <c r="B9858"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858">
        <v>1755044</v>
      </c>
      <c r="D9858">
        <v>4</v>
      </c>
    </row>
    <row r="9859" spans="1:4" x14ac:dyDescent="0.25">
      <c r="A9859" t="str">
        <f>T("   851650")</f>
        <v xml:space="preserve">   851650</v>
      </c>
      <c r="B9859" t="str">
        <f>T("   Fours à micro-ondes")</f>
        <v xml:space="preserve">   Fours à micro-ondes</v>
      </c>
      <c r="C9859">
        <v>288569</v>
      </c>
      <c r="D9859">
        <v>91</v>
      </c>
    </row>
    <row r="9860" spans="1:4" x14ac:dyDescent="0.25">
      <c r="A9860" t="str">
        <f>T("   851829")</f>
        <v xml:space="preserve">   851829</v>
      </c>
      <c r="B9860" t="str">
        <f>T("   Haut-parleurs sans enceinte")</f>
        <v xml:space="preserve">   Haut-parleurs sans enceinte</v>
      </c>
      <c r="C9860">
        <v>1968212</v>
      </c>
      <c r="D9860">
        <v>338</v>
      </c>
    </row>
    <row r="9861" spans="1:4" x14ac:dyDescent="0.25">
      <c r="A9861" t="str">
        <f>T("   852812")</f>
        <v xml:space="preserve">   852812</v>
      </c>
      <c r="B9861"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9861">
        <v>8008500</v>
      </c>
      <c r="D9861">
        <v>6010</v>
      </c>
    </row>
    <row r="9862" spans="1:4" x14ac:dyDescent="0.25">
      <c r="A9862" t="str">
        <f>T("   870323")</f>
        <v xml:space="preserve">   870323</v>
      </c>
      <c r="B9862" t="s">
        <v>473</v>
      </c>
      <c r="C9862">
        <v>51247787</v>
      </c>
      <c r="D9862">
        <v>10860</v>
      </c>
    </row>
    <row r="9863" spans="1:4" x14ac:dyDescent="0.25">
      <c r="A9863" t="str">
        <f>T("   870421")</f>
        <v xml:space="preserve">   870421</v>
      </c>
      <c r="B9863" t="s">
        <v>478</v>
      </c>
      <c r="C9863">
        <v>25777915</v>
      </c>
      <c r="D9863">
        <v>3450</v>
      </c>
    </row>
    <row r="9864" spans="1:4" x14ac:dyDescent="0.25">
      <c r="A9864" t="str">
        <f>T("   950310")</f>
        <v xml:space="preserve">   950310</v>
      </c>
      <c r="B9864" t="str">
        <f>T("   Modèles réduits de trains électriques, y.c. les rails, les signaux et autres accessoires")</f>
        <v xml:space="preserve">   Modèles réduits de trains électriques, y.c. les rails, les signaux et autres accessoires</v>
      </c>
      <c r="C9864">
        <v>326917</v>
      </c>
      <c r="D9864">
        <v>500</v>
      </c>
    </row>
    <row r="9865" spans="1:4" x14ac:dyDescent="0.25">
      <c r="A9865" t="str">
        <f>T("TK")</f>
        <v>TK</v>
      </c>
      <c r="B9865" t="str">
        <f>T("Tokelau")</f>
        <v>Tokelau</v>
      </c>
    </row>
    <row r="9866" spans="1:4" x14ac:dyDescent="0.25">
      <c r="A9866" t="str">
        <f>T("   ZZ_Total_Produit_SH6")</f>
        <v xml:space="preserve">   ZZ_Total_Produit_SH6</v>
      </c>
      <c r="B9866" t="str">
        <f>T("   ZZ_Total_Produit_SH6")</f>
        <v xml:space="preserve">   ZZ_Total_Produit_SH6</v>
      </c>
      <c r="C9866">
        <v>661864</v>
      </c>
      <c r="D9866">
        <v>1</v>
      </c>
    </row>
    <row r="9867" spans="1:4" x14ac:dyDescent="0.25">
      <c r="A9867" t="str">
        <f>T("   846390")</f>
        <v xml:space="preserve">   846390</v>
      </c>
      <c r="B9867" t="s">
        <v>429</v>
      </c>
      <c r="C9867">
        <v>661864</v>
      </c>
      <c r="D9867">
        <v>1</v>
      </c>
    </row>
    <row r="9868" spans="1:4" x14ac:dyDescent="0.25">
      <c r="A9868" t="str">
        <f>T("TN")</f>
        <v>TN</v>
      </c>
      <c r="B9868" t="str">
        <f>T("Tunisie")</f>
        <v>Tunisie</v>
      </c>
    </row>
    <row r="9869" spans="1:4" x14ac:dyDescent="0.25">
      <c r="A9869" t="str">
        <f>T("   ZZ_Total_Produit_SH6")</f>
        <v xml:space="preserve">   ZZ_Total_Produit_SH6</v>
      </c>
      <c r="B9869" t="str">
        <f>T("   ZZ_Total_Produit_SH6")</f>
        <v xml:space="preserve">   ZZ_Total_Produit_SH6</v>
      </c>
      <c r="C9869">
        <v>1208594061.632</v>
      </c>
      <c r="D9869">
        <v>6266446.4000000004</v>
      </c>
    </row>
    <row r="9870" spans="1:4" x14ac:dyDescent="0.25">
      <c r="A9870" t="str">
        <f>T("   020727")</f>
        <v xml:space="preserve">   020727</v>
      </c>
      <c r="B9870" t="str">
        <f>T("   Morceaux et abats comestibles de dindes et dindons [des espèces domestiques], congelés")</f>
        <v xml:space="preserve">   Morceaux et abats comestibles de dindes et dindons [des espèces domestiques], congelés</v>
      </c>
      <c r="C9870">
        <v>45001479</v>
      </c>
      <c r="D9870">
        <v>79400</v>
      </c>
    </row>
    <row r="9871" spans="1:4" x14ac:dyDescent="0.25">
      <c r="A9871" t="str">
        <f>T("   110100")</f>
        <v xml:space="preserve">   110100</v>
      </c>
      <c r="B9871" t="str">
        <f>T("   Farines de froment [blé] ou de méteil")</f>
        <v xml:space="preserve">   Farines de froment [blé] ou de méteil</v>
      </c>
      <c r="C9871">
        <v>50522184.364</v>
      </c>
      <c r="D9871">
        <v>187900</v>
      </c>
    </row>
    <row r="9872" spans="1:4" x14ac:dyDescent="0.25">
      <c r="A9872" t="str">
        <f>T("   150990")</f>
        <v xml:space="preserve">   150990</v>
      </c>
      <c r="B9872"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9872">
        <v>9183</v>
      </c>
      <c r="D9872">
        <v>15</v>
      </c>
    </row>
    <row r="9873" spans="1:4" x14ac:dyDescent="0.25">
      <c r="A9873" t="str">
        <f>T("   151710")</f>
        <v xml:space="preserve">   151710</v>
      </c>
      <c r="B9873" t="str">
        <f>T("   Margarine (à l'excl. de la margarine liquide)")</f>
        <v xml:space="preserve">   Margarine (à l'excl. de la margarine liquide)</v>
      </c>
      <c r="C9873">
        <v>40230062</v>
      </c>
      <c r="D9873">
        <v>89175</v>
      </c>
    </row>
    <row r="9874" spans="1:4" x14ac:dyDescent="0.25">
      <c r="A9874" t="str">
        <f>T("   170191")</f>
        <v xml:space="preserve">   170191</v>
      </c>
      <c r="B9874" t="str">
        <f>T("   Sucres de canne ou de betterave, à l'état solide, additionnés d'aromatisants ou de colorants")</f>
        <v xml:space="preserve">   Sucres de canne ou de betterave, à l'état solide, additionnés d'aromatisants ou de colorants</v>
      </c>
      <c r="C9874">
        <v>27693411.434</v>
      </c>
      <c r="D9874">
        <v>116825</v>
      </c>
    </row>
    <row r="9875" spans="1:4" x14ac:dyDescent="0.25">
      <c r="A9875" t="str">
        <f>T("   170199")</f>
        <v xml:space="preserve">   170199</v>
      </c>
      <c r="B9875"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9875">
        <v>89304995.833000004</v>
      </c>
      <c r="D9875">
        <v>392120</v>
      </c>
    </row>
    <row r="9876" spans="1:4" x14ac:dyDescent="0.25">
      <c r="A9876" t="str">
        <f>T("   190219")</f>
        <v xml:space="preserve">   190219</v>
      </c>
      <c r="B9876" t="str">
        <f>T("   PÂTES ALIMENTAIRES NON-CUITES NI FARCIES NI AUTREMENT PRÉPARÉES, NE CONTENANT PAS D'OEUFS")</f>
        <v xml:space="preserve">   PÂTES ALIMENTAIRES NON-CUITES NI FARCIES NI AUTREMENT PRÉPARÉES, NE CONTENANT PAS D'OEUFS</v>
      </c>
      <c r="C9876">
        <v>29465782</v>
      </c>
      <c r="D9876">
        <v>102183</v>
      </c>
    </row>
    <row r="9877" spans="1:4" x14ac:dyDescent="0.25">
      <c r="A9877" t="str">
        <f>T("   190240")</f>
        <v xml:space="preserve">   190240</v>
      </c>
      <c r="B9877" t="str">
        <f>T("   Couscous, même préparé")</f>
        <v xml:space="preserve">   Couscous, même préparé</v>
      </c>
      <c r="C9877">
        <v>34550049</v>
      </c>
      <c r="D9877">
        <v>127354</v>
      </c>
    </row>
    <row r="9878" spans="1:4" x14ac:dyDescent="0.25">
      <c r="A9878" t="str">
        <f>T("   190531")</f>
        <v xml:space="preserve">   190531</v>
      </c>
      <c r="B9878" t="str">
        <f>T("   Biscuits additionnés d'édulcorants")</f>
        <v xml:space="preserve">   Biscuits additionnés d'édulcorants</v>
      </c>
      <c r="C9878">
        <v>15687007</v>
      </c>
      <c r="D9878">
        <v>59132</v>
      </c>
    </row>
    <row r="9879" spans="1:4" x14ac:dyDescent="0.25">
      <c r="A9879" t="str">
        <f>T("   190590")</f>
        <v xml:space="preserve">   190590</v>
      </c>
      <c r="B9879" t="s">
        <v>52</v>
      </c>
      <c r="C9879">
        <v>7960010</v>
      </c>
      <c r="D9879">
        <v>31620</v>
      </c>
    </row>
    <row r="9880" spans="1:4" x14ac:dyDescent="0.25">
      <c r="A9880" t="str">
        <f>T("   220290")</f>
        <v xml:space="preserve">   220290</v>
      </c>
      <c r="B9880" t="str">
        <f>T("   BOISSONS NON-ALCOOLIQUES (À L'EXCL. DES EAUX, DES JUS DE FRUITS OU DE LÉGUMES AINSI QUE DU LAIT)")</f>
        <v xml:space="preserve">   BOISSONS NON-ALCOOLIQUES (À L'EXCL. DES EAUX, DES JUS DE FRUITS OU DE LÉGUMES AINSI QUE DU LAIT)</v>
      </c>
      <c r="C9880">
        <v>5930000</v>
      </c>
      <c r="D9880">
        <v>43632</v>
      </c>
    </row>
    <row r="9881" spans="1:4" x14ac:dyDescent="0.25">
      <c r="A9881" t="str">
        <f>T("   250100")</f>
        <v xml:space="preserve">   250100</v>
      </c>
      <c r="B9881" t="s">
        <v>65</v>
      </c>
      <c r="C9881">
        <v>38776093</v>
      </c>
      <c r="D9881">
        <v>816587</v>
      </c>
    </row>
    <row r="9882" spans="1:4" x14ac:dyDescent="0.25">
      <c r="A9882" t="str">
        <f>T("   250900")</f>
        <v xml:space="preserve">   250900</v>
      </c>
      <c r="B9882" t="str">
        <f>T("   Craie")</f>
        <v xml:space="preserve">   Craie</v>
      </c>
      <c r="C9882">
        <v>3825368</v>
      </c>
      <c r="D9882">
        <v>82112</v>
      </c>
    </row>
    <row r="9883" spans="1:4" x14ac:dyDescent="0.25">
      <c r="A9883" t="str">
        <f>T("   252020")</f>
        <v xml:space="preserve">   252020</v>
      </c>
      <c r="B9883" t="str">
        <f>T("   Plâtres, même colorés ou additionnés de faibles quantités d'accélérateurs ou de retardateurs")</f>
        <v xml:space="preserve">   Plâtres, même colorés ou additionnés de faibles quantités d'accélérateurs ou de retardateurs</v>
      </c>
      <c r="C9883">
        <v>111264165</v>
      </c>
      <c r="D9883">
        <v>1960882</v>
      </c>
    </row>
    <row r="9884" spans="1:4" x14ac:dyDescent="0.25">
      <c r="A9884" t="str">
        <f>T("   252321")</f>
        <v xml:space="preserve">   252321</v>
      </c>
      <c r="B9884" t="str">
        <f>T("   Ciments Portland blancs, même colorés artificiellement")</f>
        <v xml:space="preserve">   Ciments Portland blancs, même colorés artificiellement</v>
      </c>
      <c r="C9884">
        <v>25059546</v>
      </c>
      <c r="D9884">
        <v>308168</v>
      </c>
    </row>
    <row r="9885" spans="1:4" x14ac:dyDescent="0.25">
      <c r="A9885" t="str">
        <f>T("   252329")</f>
        <v xml:space="preserve">   252329</v>
      </c>
      <c r="B9885" t="str">
        <f>T("   Ciment Portland normal ou modéré (à l'excl. des ciments Portland blancs, même colorés artificiellement)")</f>
        <v xml:space="preserve">   Ciment Portland normal ou modéré (à l'excl. des ciments Portland blancs, même colorés artificiellement)</v>
      </c>
      <c r="C9885">
        <v>2128590</v>
      </c>
      <c r="D9885">
        <v>54600</v>
      </c>
    </row>
    <row r="9886" spans="1:4" x14ac:dyDescent="0.25">
      <c r="A9886" t="str">
        <f>T("   281420")</f>
        <v xml:space="preserve">   281420</v>
      </c>
      <c r="B9886" t="str">
        <f>T("   Ammoniac en solution aqueuse [ammoniaque]")</f>
        <v xml:space="preserve">   Ammoniac en solution aqueuse [ammoniaque]</v>
      </c>
      <c r="C9886">
        <v>266320</v>
      </c>
      <c r="D9886">
        <v>960</v>
      </c>
    </row>
    <row r="9887" spans="1:4" x14ac:dyDescent="0.25">
      <c r="A9887" t="str">
        <f>T("   282300")</f>
        <v xml:space="preserve">   282300</v>
      </c>
      <c r="B9887" t="str">
        <f>T("   Oxydes de titane")</f>
        <v xml:space="preserve">   Oxydes de titane</v>
      </c>
      <c r="C9887">
        <v>8667534</v>
      </c>
      <c r="D9887">
        <v>5060</v>
      </c>
    </row>
    <row r="9888" spans="1:4" x14ac:dyDescent="0.25">
      <c r="A9888" t="str">
        <f>T("   283322")</f>
        <v xml:space="preserve">   283322</v>
      </c>
      <c r="B9888" t="str">
        <f>T("   SULFATE D'ALUMINIUM")</f>
        <v xml:space="preserve">   SULFATE D'ALUMINIUM</v>
      </c>
      <c r="C9888">
        <v>17224854</v>
      </c>
      <c r="D9888">
        <v>100000</v>
      </c>
    </row>
    <row r="9889" spans="1:4" x14ac:dyDescent="0.25">
      <c r="A9889" t="str">
        <f>T("   283539")</f>
        <v xml:space="preserve">   283539</v>
      </c>
      <c r="B9889" t="str">
        <f>T("   Polyphosphates, de constitution chimique définie ou non (à l'excl. du triphosphate de sodium [tripolyphosphate de sodium])")</f>
        <v xml:space="preserve">   Polyphosphates, de constitution chimique définie ou non (à l'excl. du triphosphate de sodium [tripolyphosphate de sodium])</v>
      </c>
      <c r="C9889">
        <v>1806461</v>
      </c>
      <c r="D9889">
        <v>2000</v>
      </c>
    </row>
    <row r="9890" spans="1:4" x14ac:dyDescent="0.25">
      <c r="A9890" t="str">
        <f>T("   283650")</f>
        <v xml:space="preserve">   283650</v>
      </c>
      <c r="B9890" t="str">
        <f>T("   Carbonate de calcium")</f>
        <v xml:space="preserve">   Carbonate de calcium</v>
      </c>
      <c r="C9890">
        <v>59175322</v>
      </c>
      <c r="D9890">
        <v>1073636</v>
      </c>
    </row>
    <row r="9891" spans="1:4" x14ac:dyDescent="0.25">
      <c r="A9891" t="str">
        <f>T("   320611")</f>
        <v xml:space="preserve">   320611</v>
      </c>
      <c r="B9891" t="s">
        <v>90</v>
      </c>
      <c r="C9891">
        <v>18138842</v>
      </c>
      <c r="D9891">
        <v>8000</v>
      </c>
    </row>
    <row r="9892" spans="1:4" x14ac:dyDescent="0.25">
      <c r="A9892" t="str">
        <f>T("   320910")</f>
        <v xml:space="preserve">   320910</v>
      </c>
      <c r="B9892" t="str">
        <f>T("   Peintures et vernis à base de polymères acryliques ou vinyliques, dispersés ou dissous dans un milieu aqueux")</f>
        <v xml:space="preserve">   Peintures et vernis à base de polymères acryliques ou vinyliques, dispersés ou dissous dans un milieu aqueux</v>
      </c>
      <c r="C9892">
        <v>14745228</v>
      </c>
      <c r="D9892">
        <v>19800</v>
      </c>
    </row>
    <row r="9893" spans="1:4" x14ac:dyDescent="0.25">
      <c r="A9893" t="str">
        <f>T("   320990")</f>
        <v xml:space="preserve">   320990</v>
      </c>
      <c r="B9893"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9893">
        <v>8373953</v>
      </c>
      <c r="D9893">
        <v>13192</v>
      </c>
    </row>
    <row r="9894" spans="1:4" x14ac:dyDescent="0.25">
      <c r="A9894" t="str">
        <f>T("   350610")</f>
        <v xml:space="preserve">   350610</v>
      </c>
      <c r="B9894"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9894">
        <v>33552564</v>
      </c>
      <c r="D9894">
        <v>8762.4</v>
      </c>
    </row>
    <row r="9895" spans="1:4" x14ac:dyDescent="0.25">
      <c r="A9895" t="str">
        <f>T("   382440")</f>
        <v xml:space="preserve">   382440</v>
      </c>
      <c r="B9895" t="str">
        <f>T("   Additifs préparés pour ciments, mortiers ou bétons")</f>
        <v xml:space="preserve">   Additifs préparés pour ciments, mortiers ou bétons</v>
      </c>
      <c r="C9895">
        <v>26994722</v>
      </c>
      <c r="D9895">
        <v>28586</v>
      </c>
    </row>
    <row r="9896" spans="1:4" x14ac:dyDescent="0.25">
      <c r="A9896" t="str">
        <f>T("   382479")</f>
        <v xml:space="preserve">   382479</v>
      </c>
      <c r="B9896" t="str">
        <f>T("   Mélanges contenant des dérivés perhalogènes des hydrocarbures acycliques comportant au moins deux halogènes différents (sauf uniquement avec du fluor et du chlore)")</f>
        <v xml:space="preserve">   Mélanges contenant des dérivés perhalogènes des hydrocarbures acycliques comportant au moins deux halogènes différents (sauf uniquement avec du fluor et du chlore)</v>
      </c>
      <c r="C9896">
        <v>2478873</v>
      </c>
      <c r="D9896">
        <v>2355</v>
      </c>
    </row>
    <row r="9897" spans="1:4" x14ac:dyDescent="0.25">
      <c r="A9897" t="str">
        <f>T("   390390")</f>
        <v xml:space="preserve">   390390</v>
      </c>
      <c r="B9897"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9897">
        <v>17819639</v>
      </c>
      <c r="D9897">
        <v>24294</v>
      </c>
    </row>
    <row r="9898" spans="1:4" x14ac:dyDescent="0.25">
      <c r="A9898" t="str">
        <f>T("   390512")</f>
        <v xml:space="preserve">   390512</v>
      </c>
      <c r="B9898" t="str">
        <f>T("   Poly[acétate de vinyle], en dispersion aqueuse")</f>
        <v xml:space="preserve">   Poly[acétate de vinyle], en dispersion aqueuse</v>
      </c>
      <c r="C9898">
        <v>13403099</v>
      </c>
      <c r="D9898">
        <v>24000</v>
      </c>
    </row>
    <row r="9899" spans="1:4" x14ac:dyDescent="0.25">
      <c r="A9899" t="str">
        <f>T("   390591")</f>
        <v xml:space="preserve">   390591</v>
      </c>
      <c r="B9899" t="str">
        <f>T("   Copolymères de vinyle, sous formes primaires (à l'excl. des copolymères du chlorure de vinyle et d'acétate de vinyle et autres copolymères du chlorure de vinyle, et copolymères d'acétate de vinyle)")</f>
        <v xml:space="preserve">   Copolymères de vinyle, sous formes primaires (à l'excl. des copolymères du chlorure de vinyle et d'acétate de vinyle et autres copolymères du chlorure de vinyle, et copolymères d'acétate de vinyle)</v>
      </c>
      <c r="C9899">
        <v>5302125</v>
      </c>
      <c r="D9899">
        <v>9894</v>
      </c>
    </row>
    <row r="9900" spans="1:4" x14ac:dyDescent="0.25">
      <c r="A9900" t="str">
        <f>T("   390599")</f>
        <v xml:space="preserve">   390599</v>
      </c>
      <c r="B9900" t="s">
        <v>123</v>
      </c>
      <c r="C9900">
        <v>12875400</v>
      </c>
      <c r="D9900">
        <v>19788</v>
      </c>
    </row>
    <row r="9901" spans="1:4" x14ac:dyDescent="0.25">
      <c r="A9901" t="str">
        <f>T("   390750")</f>
        <v xml:space="preserve">   390750</v>
      </c>
      <c r="B9901" t="str">
        <f>T("   Résines alkydes, sous formes primaires")</f>
        <v xml:space="preserve">   Résines alkydes, sous formes primaires</v>
      </c>
      <c r="C9901">
        <v>60708442</v>
      </c>
      <c r="D9901">
        <v>81928</v>
      </c>
    </row>
    <row r="9902" spans="1:4" x14ac:dyDescent="0.25">
      <c r="A9902" t="str">
        <f>T("   391723")</f>
        <v xml:space="preserve">   391723</v>
      </c>
      <c r="B9902" t="str">
        <f>T("   TUBES ET TUYAUX RIGIDES, EN POLYMÈRES DU CHLORURE DE VINYLE")</f>
        <v xml:space="preserve">   TUBES ET TUYAUX RIGIDES, EN POLYMÈRES DU CHLORURE DE VINYLE</v>
      </c>
      <c r="C9902">
        <v>9315944</v>
      </c>
      <c r="D9902">
        <v>8000</v>
      </c>
    </row>
    <row r="9903" spans="1:4" x14ac:dyDescent="0.25">
      <c r="A9903" t="str">
        <f>T("   400211")</f>
        <v xml:space="preserve">   400211</v>
      </c>
      <c r="B9903" t="str">
        <f>T("   Latex de caoutchouc styrène-butadiène [SBR] ou de caoutchouc styrène-butadiène carboxylé [XSBR]")</f>
        <v xml:space="preserve">   Latex de caoutchouc styrène-butadiène [SBR] ou de caoutchouc styrène-butadiène carboxylé [XSBR]</v>
      </c>
      <c r="C9903">
        <v>12723000</v>
      </c>
      <c r="D9903">
        <v>9968</v>
      </c>
    </row>
    <row r="9904" spans="1:4" x14ac:dyDescent="0.25">
      <c r="A9904" t="str">
        <f>T("   481840")</f>
        <v xml:space="preserve">   481840</v>
      </c>
      <c r="B9904"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9904">
        <v>8524046</v>
      </c>
      <c r="D9904">
        <v>20255</v>
      </c>
    </row>
    <row r="9905" spans="1:4" x14ac:dyDescent="0.25">
      <c r="A9905" t="str">
        <f>T("   482010")</f>
        <v xml:space="preserve">   482010</v>
      </c>
      <c r="B9905"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9905">
        <v>15640494</v>
      </c>
      <c r="D9905">
        <v>22850</v>
      </c>
    </row>
    <row r="9906" spans="1:4" x14ac:dyDescent="0.25">
      <c r="A9906" t="str">
        <f>T("   490199")</f>
        <v xml:space="preserve">   490199</v>
      </c>
      <c r="B990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906">
        <v>532640</v>
      </c>
      <c r="D9906">
        <v>504</v>
      </c>
    </row>
    <row r="9907" spans="1:4" x14ac:dyDescent="0.25">
      <c r="A9907" t="str">
        <f>T("   490290")</f>
        <v xml:space="preserve">   490290</v>
      </c>
      <c r="B9907"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9907">
        <v>1563152</v>
      </c>
      <c r="D9907">
        <v>898</v>
      </c>
    </row>
    <row r="9908" spans="1:4" x14ac:dyDescent="0.25">
      <c r="A9908" t="str">
        <f>T("   491110")</f>
        <v xml:space="preserve">   491110</v>
      </c>
      <c r="B9908" t="str">
        <f>T("   Imprimés publicitaires, catalogues commerciaux et simil.")</f>
        <v xml:space="preserve">   Imprimés publicitaires, catalogues commerciaux et simil.</v>
      </c>
      <c r="C9908">
        <v>1312</v>
      </c>
      <c r="D9908">
        <v>5</v>
      </c>
    </row>
    <row r="9909" spans="1:4" x14ac:dyDescent="0.25">
      <c r="A9909" t="str">
        <f>T("   491191")</f>
        <v xml:space="preserve">   491191</v>
      </c>
      <c r="B9909" t="str">
        <f>T("   Images, gravures et photographies, n.d.a.")</f>
        <v xml:space="preserve">   Images, gravures et photographies, n.d.a.</v>
      </c>
      <c r="C9909">
        <v>483836</v>
      </c>
      <c r="D9909">
        <v>1422</v>
      </c>
    </row>
    <row r="9910" spans="1:4" x14ac:dyDescent="0.25">
      <c r="A9910" t="str">
        <f>T("   560110")</f>
        <v xml:space="preserve">   560110</v>
      </c>
      <c r="B9910" t="str">
        <f>T("   Serviettes et tampons hygiéniques, couches pour bébés et articles hygiéniques simil., en ouates")</f>
        <v xml:space="preserve">   Serviettes et tampons hygiéniques, couches pour bébés et articles hygiéniques simil., en ouates</v>
      </c>
      <c r="C9910">
        <v>9936639</v>
      </c>
      <c r="D9910">
        <v>10033</v>
      </c>
    </row>
    <row r="9911" spans="1:4" x14ac:dyDescent="0.25">
      <c r="A9911" t="str">
        <f>T("   620590")</f>
        <v xml:space="preserve">   620590</v>
      </c>
      <c r="B991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911">
        <v>500000</v>
      </c>
      <c r="D9911">
        <v>780</v>
      </c>
    </row>
    <row r="9912" spans="1:4" x14ac:dyDescent="0.25">
      <c r="A9912" t="str">
        <f>T("   620690")</f>
        <v xml:space="preserve">   620690</v>
      </c>
      <c r="B9912" t="s">
        <v>263</v>
      </c>
      <c r="C9912">
        <v>41325</v>
      </c>
      <c r="D9912">
        <v>10</v>
      </c>
    </row>
    <row r="9913" spans="1:4" x14ac:dyDescent="0.25">
      <c r="A9913" t="str">
        <f>T("   630900")</f>
        <v xml:space="preserve">   630900</v>
      </c>
      <c r="B9913" t="s">
        <v>273</v>
      </c>
      <c r="C9913">
        <v>31145244</v>
      </c>
      <c r="D9913">
        <v>55730</v>
      </c>
    </row>
    <row r="9914" spans="1:4" x14ac:dyDescent="0.25">
      <c r="A9914" t="str">
        <f>T("   690890")</f>
        <v xml:space="preserve">   690890</v>
      </c>
      <c r="B9914" t="s">
        <v>307</v>
      </c>
      <c r="C9914">
        <v>6276881</v>
      </c>
      <c r="D9914">
        <v>79500</v>
      </c>
    </row>
    <row r="9915" spans="1:4" x14ac:dyDescent="0.25">
      <c r="A9915" t="str">
        <f>T("   691090")</f>
        <v xml:space="preserve">   691090</v>
      </c>
      <c r="B9915" t="s">
        <v>310</v>
      </c>
      <c r="C9915">
        <v>5390548</v>
      </c>
      <c r="D9915">
        <v>16758</v>
      </c>
    </row>
    <row r="9916" spans="1:4" x14ac:dyDescent="0.25">
      <c r="A9916" t="str">
        <f>T("   731021")</f>
        <v xml:space="preserve">   731021</v>
      </c>
      <c r="B9916"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9916">
        <v>24342676</v>
      </c>
      <c r="D9916">
        <v>14255</v>
      </c>
    </row>
    <row r="9917" spans="1:4" x14ac:dyDescent="0.25">
      <c r="A9917" t="str">
        <f>T("   731029")</f>
        <v xml:space="preserve">   731029</v>
      </c>
      <c r="B9917"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9917">
        <v>1679258</v>
      </c>
      <c r="D9917">
        <v>633</v>
      </c>
    </row>
    <row r="9918" spans="1:4" x14ac:dyDescent="0.25">
      <c r="A9918" t="str">
        <f>T("   731815")</f>
        <v xml:space="preserve">   731815</v>
      </c>
      <c r="B9918" t="s">
        <v>354</v>
      </c>
      <c r="C9918">
        <v>10841850</v>
      </c>
      <c r="D9918">
        <v>19966</v>
      </c>
    </row>
    <row r="9919" spans="1:4" x14ac:dyDescent="0.25">
      <c r="A9919" t="str">
        <f>T("   732394")</f>
        <v xml:space="preserve">   732394</v>
      </c>
      <c r="B9919" t="s">
        <v>362</v>
      </c>
      <c r="C9919">
        <v>560000</v>
      </c>
      <c r="D9919">
        <v>870</v>
      </c>
    </row>
    <row r="9920" spans="1:4" x14ac:dyDescent="0.25">
      <c r="A9920" t="str">
        <f>T("   732399")</f>
        <v xml:space="preserve">   732399</v>
      </c>
      <c r="B9920" t="s">
        <v>363</v>
      </c>
      <c r="C9920">
        <v>6340510</v>
      </c>
      <c r="D9920">
        <v>5060</v>
      </c>
    </row>
    <row r="9921" spans="1:4" x14ac:dyDescent="0.25">
      <c r="A9921" t="str">
        <f>T("   820110")</f>
        <v xml:space="preserve">   820110</v>
      </c>
      <c r="B9921" t="str">
        <f>T("   Bêches et pelles, avec partie travaillante en métaux communs")</f>
        <v xml:space="preserve">   Bêches et pelles, avec partie travaillante en métaux communs</v>
      </c>
      <c r="C9921">
        <v>1797730</v>
      </c>
      <c r="D9921">
        <v>5040</v>
      </c>
    </row>
    <row r="9922" spans="1:4" x14ac:dyDescent="0.25">
      <c r="A9922" t="str">
        <f>T("   820130")</f>
        <v xml:space="preserve">   820130</v>
      </c>
      <c r="B9922" t="str">
        <f>T("   Pioches, pics, houes, binettes, râteaux et racloirs, avec partie travaillante en métaux communs (sauf piolets)")</f>
        <v xml:space="preserve">   Pioches, pics, houes, binettes, râteaux et racloirs, avec partie travaillante en métaux communs (sauf piolets)</v>
      </c>
      <c r="C9922">
        <v>1197127</v>
      </c>
      <c r="D9922">
        <v>228</v>
      </c>
    </row>
    <row r="9923" spans="1:4" x14ac:dyDescent="0.25">
      <c r="A9923" t="str">
        <f>T("   830210")</f>
        <v xml:space="preserve">   830210</v>
      </c>
      <c r="B9923" t="str">
        <f>T("   Charnières de tous genres, y.c. les paumelles et pentures, en métaux communs")</f>
        <v xml:space="preserve">   Charnières de tous genres, y.c. les paumelles et pentures, en métaux communs</v>
      </c>
      <c r="C9923">
        <v>4265622</v>
      </c>
      <c r="D9923">
        <v>9804</v>
      </c>
    </row>
    <row r="9924" spans="1:4" x14ac:dyDescent="0.25">
      <c r="A9924" t="str">
        <f>T("   830249")</f>
        <v xml:space="preserve">   830249</v>
      </c>
      <c r="B9924" t="s">
        <v>381</v>
      </c>
      <c r="C9924">
        <v>97253</v>
      </c>
      <c r="D9924">
        <v>212</v>
      </c>
    </row>
    <row r="9925" spans="1:4" x14ac:dyDescent="0.25">
      <c r="A9925" t="str">
        <f>T("   841451")</f>
        <v xml:space="preserve">   841451</v>
      </c>
      <c r="B9925"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9925">
        <v>7376926</v>
      </c>
      <c r="D9925">
        <v>7313</v>
      </c>
    </row>
    <row r="9926" spans="1:4" x14ac:dyDescent="0.25">
      <c r="A9926" t="str">
        <f>T("   841490")</f>
        <v xml:space="preserve">   841490</v>
      </c>
      <c r="B9926"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9926">
        <v>16399</v>
      </c>
      <c r="D9926">
        <v>17</v>
      </c>
    </row>
    <row r="9927" spans="1:4" x14ac:dyDescent="0.25">
      <c r="A9927" t="str">
        <f>T("   841510")</f>
        <v xml:space="preserve">   841510</v>
      </c>
      <c r="B9927" t="s">
        <v>400</v>
      </c>
      <c r="C9927">
        <v>15733851</v>
      </c>
      <c r="D9927">
        <v>14887</v>
      </c>
    </row>
    <row r="9928" spans="1:4" x14ac:dyDescent="0.25">
      <c r="A9928" t="str">
        <f>T("   841581")</f>
        <v xml:space="preserve">   841581</v>
      </c>
      <c r="B9928" t="s">
        <v>401</v>
      </c>
      <c r="C9928">
        <v>10303813</v>
      </c>
      <c r="D9928">
        <v>8194</v>
      </c>
    </row>
    <row r="9929" spans="1:4" x14ac:dyDescent="0.25">
      <c r="A9929" t="str">
        <f>T("   841590")</f>
        <v xml:space="preserve">   841590</v>
      </c>
      <c r="B9929"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9929">
        <v>83963</v>
      </c>
      <c r="D9929">
        <v>65</v>
      </c>
    </row>
    <row r="9930" spans="1:4" x14ac:dyDescent="0.25">
      <c r="A9930" t="str">
        <f>T("   841810")</f>
        <v xml:space="preserve">   841810</v>
      </c>
      <c r="B9930" t="str">
        <f>T("   Réfrigérateurs et congélateurs-conservateurs combinés, avec portes extérieures séparées")</f>
        <v xml:space="preserve">   Réfrigérateurs et congélateurs-conservateurs combinés, avec portes extérieures séparées</v>
      </c>
      <c r="C9930">
        <v>16628611</v>
      </c>
      <c r="D9930">
        <v>17512</v>
      </c>
    </row>
    <row r="9931" spans="1:4" x14ac:dyDescent="0.25">
      <c r="A9931" t="str">
        <f>T("   841869")</f>
        <v xml:space="preserve">   841869</v>
      </c>
      <c r="B9931"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9931">
        <v>7273284</v>
      </c>
      <c r="D9931">
        <v>1870</v>
      </c>
    </row>
    <row r="9932" spans="1:4" x14ac:dyDescent="0.25">
      <c r="A9932" t="str">
        <f>T("   851430")</f>
        <v xml:space="preserve">   851430</v>
      </c>
      <c r="B9932"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9932">
        <v>66251960</v>
      </c>
      <c r="D9932">
        <v>7000</v>
      </c>
    </row>
    <row r="9933" spans="1:4" x14ac:dyDescent="0.25">
      <c r="A9933" t="str">
        <f>T("   853690")</f>
        <v xml:space="preserve">   853690</v>
      </c>
      <c r="B9933" t="s">
        <v>467</v>
      </c>
      <c r="C9933">
        <v>6870079</v>
      </c>
      <c r="D9933">
        <v>2189</v>
      </c>
    </row>
    <row r="9934" spans="1:4" x14ac:dyDescent="0.25">
      <c r="A9934" t="str">
        <f>T("   853939")</f>
        <v xml:space="preserve">   853939</v>
      </c>
      <c r="B9934"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9934">
        <v>7334820</v>
      </c>
      <c r="D9934">
        <v>4720</v>
      </c>
    </row>
    <row r="9935" spans="1:4" x14ac:dyDescent="0.25">
      <c r="A9935" t="str">
        <f>T("   854459")</f>
        <v xml:space="preserve">   854459</v>
      </c>
      <c r="B9935" t="str">
        <f>T("   Conducteurs électriques, pour tension &gt; 80 V mais &lt;= 1.000 V, sans pièces de connexion, n.d.a.")</f>
        <v xml:space="preserve">   Conducteurs électriques, pour tension &gt; 80 V mais &lt;= 1.000 V, sans pièces de connexion, n.d.a.</v>
      </c>
      <c r="C9935">
        <v>20080903</v>
      </c>
      <c r="D9935">
        <v>24250</v>
      </c>
    </row>
    <row r="9936" spans="1:4" x14ac:dyDescent="0.25">
      <c r="A9936" t="str">
        <f>T("   901580")</f>
        <v xml:space="preserve">   901580</v>
      </c>
      <c r="B9936" t="s">
        <v>493</v>
      </c>
      <c r="C9936">
        <v>104208</v>
      </c>
      <c r="D9936">
        <v>54</v>
      </c>
    </row>
    <row r="9937" spans="1:4" x14ac:dyDescent="0.25">
      <c r="A9937" t="str">
        <f>T("   902830")</f>
        <v xml:space="preserve">   902830</v>
      </c>
      <c r="B9937" t="str">
        <f>T("   Compteurs d'électricité, y.c. les compteurs pour leur étalonnage")</f>
        <v xml:space="preserve">   Compteurs d'électricité, y.c. les compteurs pour leur étalonnage</v>
      </c>
      <c r="C9937">
        <v>62329752</v>
      </c>
      <c r="D9937">
        <v>18813</v>
      </c>
    </row>
    <row r="9938" spans="1:4" x14ac:dyDescent="0.25">
      <c r="A9938" t="str">
        <f>T("   940350")</f>
        <v xml:space="preserve">   940350</v>
      </c>
      <c r="B9938" t="str">
        <f>T("   Meubles pour chambres à coucher, en bois (sauf sièges)")</f>
        <v xml:space="preserve">   Meubles pour chambres à coucher, en bois (sauf sièges)</v>
      </c>
      <c r="C9938">
        <v>750000</v>
      </c>
      <c r="D9938">
        <v>1160</v>
      </c>
    </row>
    <row r="9939" spans="1:4" x14ac:dyDescent="0.25">
      <c r="A9939" t="str">
        <f>T("   940540")</f>
        <v xml:space="preserve">   940540</v>
      </c>
      <c r="B9939" t="str">
        <f>T("   Appareils d'éclairage électrique, n.d.a.")</f>
        <v xml:space="preserve">   Appareils d'éclairage électrique, n.d.a.</v>
      </c>
      <c r="C9939">
        <v>5127102</v>
      </c>
      <c r="D9939">
        <v>1471</v>
      </c>
    </row>
    <row r="9940" spans="1:4" x14ac:dyDescent="0.25">
      <c r="A9940" t="str">
        <f>T("   950299")</f>
        <v xml:space="preserve">   950299</v>
      </c>
      <c r="B9940" t="str">
        <f>T("   Parties et accessoires pour poupées représentant uniquement l'être humain, n.d.a.")</f>
        <v xml:space="preserve">   Parties et accessoires pour poupées représentant uniquement l'être humain, n.d.a.</v>
      </c>
      <c r="C9940">
        <v>190000</v>
      </c>
      <c r="D9940">
        <v>190</v>
      </c>
    </row>
    <row r="9941" spans="1:4" x14ac:dyDescent="0.25">
      <c r="A9941" t="str">
        <f>T("TR")</f>
        <v>TR</v>
      </c>
      <c r="B9941" t="str">
        <f>T("Turquie")</f>
        <v>Turquie</v>
      </c>
    </row>
    <row r="9942" spans="1:4" x14ac:dyDescent="0.25">
      <c r="A9942" t="str">
        <f>T("   ZZ_Total_Produit_SH6")</f>
        <v xml:space="preserve">   ZZ_Total_Produit_SH6</v>
      </c>
      <c r="B9942" t="str">
        <f>T("   ZZ_Total_Produit_SH6")</f>
        <v xml:space="preserve">   ZZ_Total_Produit_SH6</v>
      </c>
      <c r="C9942">
        <v>7877653830.8400002</v>
      </c>
      <c r="D9942">
        <v>116137297.04000001</v>
      </c>
    </row>
    <row r="9943" spans="1:4" x14ac:dyDescent="0.25">
      <c r="A9943" t="str">
        <f>T("   020712")</f>
        <v xml:space="preserve">   020712</v>
      </c>
      <c r="B9943" t="str">
        <f>T("   COQS ET POULES [DES ESPÈCES DOMESTIQUES], NON-DÉCOUPÉS EN MORCEAUX, CONGELÉS")</f>
        <v xml:space="preserve">   COQS ET POULES [DES ESPÈCES DOMESTIQUES], NON-DÉCOUPÉS EN MORCEAUX, CONGELÉS</v>
      </c>
      <c r="C9943">
        <v>15005085</v>
      </c>
      <c r="D9943">
        <v>26150</v>
      </c>
    </row>
    <row r="9944" spans="1:4" x14ac:dyDescent="0.25">
      <c r="A9944" t="str">
        <f>T("   110100")</f>
        <v xml:space="preserve">   110100</v>
      </c>
      <c r="B9944" t="str">
        <f>T("   Farines de froment [blé] ou de méteil")</f>
        <v xml:space="preserve">   Farines de froment [blé] ou de méteil</v>
      </c>
      <c r="C9944">
        <v>74477701.114999995</v>
      </c>
      <c r="D9944">
        <v>270540</v>
      </c>
    </row>
    <row r="9945" spans="1:4" x14ac:dyDescent="0.25">
      <c r="A9945" t="str">
        <f>T("   110311")</f>
        <v xml:space="preserve">   110311</v>
      </c>
      <c r="B9945" t="str">
        <f>T("   Gruaux et semoules de froment [blé]")</f>
        <v xml:space="preserve">   Gruaux et semoules de froment [blé]</v>
      </c>
      <c r="C9945">
        <v>65015490</v>
      </c>
      <c r="D9945">
        <v>230460</v>
      </c>
    </row>
    <row r="9946" spans="1:4" x14ac:dyDescent="0.25">
      <c r="A9946" t="str">
        <f>T("   150790")</f>
        <v xml:space="preserve">   150790</v>
      </c>
      <c r="B9946" t="str">
        <f>T("   Huile de soja et ses fractions, même raffinées, mais non chimiquement modifiées (à l'excl. de l'huile de soja brute)")</f>
        <v xml:space="preserve">   Huile de soja et ses fractions, même raffinées, mais non chimiquement modifiées (à l'excl. de l'huile de soja brute)</v>
      </c>
      <c r="C9946">
        <v>493568</v>
      </c>
      <c r="D9946">
        <v>1842</v>
      </c>
    </row>
    <row r="9947" spans="1:4" x14ac:dyDescent="0.25">
      <c r="A9947" t="str">
        <f>T("   150890")</f>
        <v xml:space="preserve">   150890</v>
      </c>
      <c r="B9947" t="str">
        <f>T("   Huile d'arachide et ses fractions, même raffinées, mais non chimiquement modifiées (à l'excl. de l'huile d'arachide brute)")</f>
        <v xml:space="preserve">   Huile d'arachide et ses fractions, même raffinées, mais non chimiquement modifiées (à l'excl. de l'huile d'arachide brute)</v>
      </c>
      <c r="C9947">
        <v>237431.989</v>
      </c>
      <c r="D9947">
        <v>638</v>
      </c>
    </row>
    <row r="9948" spans="1:4" x14ac:dyDescent="0.25">
      <c r="A9948" t="str">
        <f>T("   150990")</f>
        <v xml:space="preserve">   150990</v>
      </c>
      <c r="B9948"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9948">
        <v>3387437</v>
      </c>
      <c r="D9948">
        <v>8045</v>
      </c>
    </row>
    <row r="9949" spans="1:4" x14ac:dyDescent="0.25">
      <c r="A9949" t="str">
        <f>T("   151190")</f>
        <v xml:space="preserve">   151190</v>
      </c>
      <c r="B9949" t="str">
        <f>T("   Huile de palme et ses fractions, même raffinées, mais non chimiquement modifiées (à l'excl. de l'huile de palme brute)")</f>
        <v xml:space="preserve">   Huile de palme et ses fractions, même raffinées, mais non chimiquement modifiées (à l'excl. de l'huile de palme brute)</v>
      </c>
      <c r="C9949">
        <v>39541767.719999999</v>
      </c>
      <c r="D9949">
        <v>105820</v>
      </c>
    </row>
    <row r="9950" spans="1:4" x14ac:dyDescent="0.25">
      <c r="A9950" t="str">
        <f>T("   151219")</f>
        <v xml:space="preserve">   151219</v>
      </c>
      <c r="B9950"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9950">
        <v>5308575</v>
      </c>
      <c r="D9950">
        <v>20762</v>
      </c>
    </row>
    <row r="9951" spans="1:4" x14ac:dyDescent="0.25">
      <c r="A9951" t="str">
        <f>T("   151419")</f>
        <v xml:space="preserve">   151419</v>
      </c>
      <c r="B9951" t="s">
        <v>34</v>
      </c>
      <c r="C9951">
        <v>322996</v>
      </c>
      <c r="D9951">
        <v>1204</v>
      </c>
    </row>
    <row r="9952" spans="1:4" x14ac:dyDescent="0.25">
      <c r="A9952" t="str">
        <f>T("   151529")</f>
        <v xml:space="preserve">   151529</v>
      </c>
      <c r="B9952" t="str">
        <f>T("   Huile de maïs et ses fractions, même raffinées, mais non chimiquement modifiées (à l'excl. de l'huile brute)")</f>
        <v xml:space="preserve">   Huile de maïs et ses fractions, même raffinées, mais non chimiquement modifiées (à l'excl. de l'huile brute)</v>
      </c>
      <c r="C9952">
        <v>341748</v>
      </c>
      <c r="D9952">
        <v>1276</v>
      </c>
    </row>
    <row r="9953" spans="1:4" x14ac:dyDescent="0.25">
      <c r="A9953" t="str">
        <f>T("   151620")</f>
        <v xml:space="preserve">   151620</v>
      </c>
      <c r="B9953"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9953">
        <v>12280936</v>
      </c>
      <c r="D9953">
        <v>44913</v>
      </c>
    </row>
    <row r="9954" spans="1:4" x14ac:dyDescent="0.25">
      <c r="A9954" t="str">
        <f>T("   170191")</f>
        <v xml:space="preserve">   170191</v>
      </c>
      <c r="B9954" t="str">
        <f>T("   Sucres de canne ou de betterave, à l'état solide, additionnés d'aromatisants ou de colorants")</f>
        <v xml:space="preserve">   Sucres de canne ou de betterave, à l'état solide, additionnés d'aromatisants ou de colorants</v>
      </c>
      <c r="C9954">
        <v>11409976.015000001</v>
      </c>
      <c r="D9954">
        <v>49000</v>
      </c>
    </row>
    <row r="9955" spans="1:4" x14ac:dyDescent="0.25">
      <c r="A9955" t="str">
        <f>T("   170199")</f>
        <v xml:space="preserve">   170199</v>
      </c>
      <c r="B9955"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9955">
        <v>2989080</v>
      </c>
      <c r="D9955">
        <v>23750</v>
      </c>
    </row>
    <row r="9956" spans="1:4" x14ac:dyDescent="0.25">
      <c r="A9956" t="str">
        <f>T("   170490")</f>
        <v xml:space="preserve">   170490</v>
      </c>
      <c r="B9956" t="str">
        <f>T("   Sucreries sans cacao, y.c. le chocolat blanc (à l'excl. des gommes à mâcher)")</f>
        <v xml:space="preserve">   Sucreries sans cacao, y.c. le chocolat blanc (à l'excl. des gommes à mâcher)</v>
      </c>
      <c r="C9956">
        <v>6202492</v>
      </c>
      <c r="D9956">
        <v>17223</v>
      </c>
    </row>
    <row r="9957" spans="1:4" x14ac:dyDescent="0.25">
      <c r="A9957" t="str">
        <f>T("   180690")</f>
        <v xml:space="preserve">   180690</v>
      </c>
      <c r="B9957"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9957">
        <v>4856775</v>
      </c>
      <c r="D9957">
        <v>23280</v>
      </c>
    </row>
    <row r="9958" spans="1:4" x14ac:dyDescent="0.25">
      <c r="A9958" t="str">
        <f>T("   190219")</f>
        <v xml:space="preserve">   190219</v>
      </c>
      <c r="B9958" t="str">
        <f>T("   PÂTES ALIMENTAIRES NON-CUITES NI FARCIES NI AUTREMENT PRÉPARÉES, NE CONTENANT PAS D'OEUFS")</f>
        <v xml:space="preserve">   PÂTES ALIMENTAIRES NON-CUITES NI FARCIES NI AUTREMENT PRÉPARÉES, NE CONTENANT PAS D'OEUFS</v>
      </c>
      <c r="C9958">
        <v>890373951</v>
      </c>
      <c r="D9958">
        <v>3977073</v>
      </c>
    </row>
    <row r="9959" spans="1:4" x14ac:dyDescent="0.25">
      <c r="A9959" t="str">
        <f>T("   190220")</f>
        <v xml:space="preserve">   190220</v>
      </c>
      <c r="B9959" t="str">
        <f>T("   Pâtes alimentaires, farcies de viande ou d'autres substances, même cuites ou autrement préparées")</f>
        <v xml:space="preserve">   Pâtes alimentaires, farcies de viande ou d'autres substances, même cuites ou autrement préparées</v>
      </c>
      <c r="C9959">
        <v>70002137</v>
      </c>
      <c r="D9959">
        <v>278100</v>
      </c>
    </row>
    <row r="9960" spans="1:4" x14ac:dyDescent="0.25">
      <c r="A9960" t="str">
        <f>T("   190230")</f>
        <v xml:space="preserve">   190230</v>
      </c>
      <c r="B9960" t="str">
        <f>T("   Pâtes alimentaires, cuites ou autrement préparées (à l'excl. des pâtes alimentaires farcies)")</f>
        <v xml:space="preserve">   Pâtes alimentaires, cuites ou autrement préparées (à l'excl. des pâtes alimentaires farcies)</v>
      </c>
      <c r="C9960">
        <v>299283605</v>
      </c>
      <c r="D9960">
        <v>1606329</v>
      </c>
    </row>
    <row r="9961" spans="1:4" x14ac:dyDescent="0.25">
      <c r="A9961" t="str">
        <f>T("   190240")</f>
        <v xml:space="preserve">   190240</v>
      </c>
      <c r="B9961" t="str">
        <f>T("   Couscous, même préparé")</f>
        <v xml:space="preserve">   Couscous, même préparé</v>
      </c>
      <c r="C9961">
        <v>66543246</v>
      </c>
      <c r="D9961">
        <v>256362</v>
      </c>
    </row>
    <row r="9962" spans="1:4" x14ac:dyDescent="0.25">
      <c r="A9962" t="str">
        <f>T("   190531")</f>
        <v xml:space="preserve">   190531</v>
      </c>
      <c r="B9962" t="str">
        <f>T("   Biscuits additionnés d'édulcorants")</f>
        <v xml:space="preserve">   Biscuits additionnés d'édulcorants</v>
      </c>
      <c r="C9962">
        <v>35320693</v>
      </c>
      <c r="D9962">
        <v>87466</v>
      </c>
    </row>
    <row r="9963" spans="1:4" x14ac:dyDescent="0.25">
      <c r="A9963" t="str">
        <f>T("   190532")</f>
        <v xml:space="preserve">   190532</v>
      </c>
      <c r="B9963" t="str">
        <f>T("   GAUFRES ET GAUFRETTES")</f>
        <v xml:space="preserve">   GAUFRES ET GAUFRETTES</v>
      </c>
      <c r="C9963">
        <v>16692395</v>
      </c>
      <c r="D9963">
        <v>45561</v>
      </c>
    </row>
    <row r="9964" spans="1:4" x14ac:dyDescent="0.25">
      <c r="A9964" t="str">
        <f>T("   190590")</f>
        <v xml:space="preserve">   190590</v>
      </c>
      <c r="B9964" t="s">
        <v>52</v>
      </c>
      <c r="C9964">
        <v>19883443</v>
      </c>
      <c r="D9964">
        <v>48784</v>
      </c>
    </row>
    <row r="9965" spans="1:4" x14ac:dyDescent="0.25">
      <c r="A9965" t="str">
        <f>T("   200919")</f>
        <v xml:space="preserve">   200919</v>
      </c>
      <c r="B9965"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9965">
        <v>2233349</v>
      </c>
      <c r="D9965">
        <v>6976</v>
      </c>
    </row>
    <row r="9966" spans="1:4" x14ac:dyDescent="0.25">
      <c r="A9966" t="str">
        <f>T("   200949")</f>
        <v xml:space="preserve">   200949</v>
      </c>
      <c r="B9966"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9966">
        <v>558122</v>
      </c>
      <c r="D9966">
        <v>2705</v>
      </c>
    </row>
    <row r="9967" spans="1:4" x14ac:dyDescent="0.25">
      <c r="A9967" t="str">
        <f>T("   200950")</f>
        <v xml:space="preserve">   200950</v>
      </c>
      <c r="B9967" t="str">
        <f>T("   JUS DE TOMATE, NON-FERMENTÉS, SANS ADDITION D'ALCOOL, AVEC OU SANS ADDITION DE SUCRE OU D'AUTRES ÉDULCORANTS")</f>
        <v xml:space="preserve">   JUS DE TOMATE, NON-FERMENTÉS, SANS ADDITION D'ALCOOL, AVEC OU SANS ADDITION DE SUCRE OU D'AUTRES ÉDULCORANTS</v>
      </c>
      <c r="C9967">
        <v>182153</v>
      </c>
      <c r="D9967">
        <v>1890</v>
      </c>
    </row>
    <row r="9968" spans="1:4" x14ac:dyDescent="0.25">
      <c r="A9968" t="str">
        <f>T("   200969")</f>
        <v xml:space="preserve">   200969</v>
      </c>
      <c r="B9968"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9968">
        <v>287610</v>
      </c>
      <c r="D9968">
        <v>2300</v>
      </c>
    </row>
    <row r="9969" spans="1:4" x14ac:dyDescent="0.25">
      <c r="A9969" t="str">
        <f>T("   200979")</f>
        <v xml:space="preserve">   200979</v>
      </c>
      <c r="B9969"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9969">
        <v>215708</v>
      </c>
      <c r="D9969">
        <v>2800</v>
      </c>
    </row>
    <row r="9970" spans="1:4" x14ac:dyDescent="0.25">
      <c r="A9970" t="str">
        <f>T("   200980")</f>
        <v xml:space="preserve">   200980</v>
      </c>
      <c r="B997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9970">
        <v>10660030</v>
      </c>
      <c r="D9970">
        <v>35695</v>
      </c>
    </row>
    <row r="9971" spans="1:4" x14ac:dyDescent="0.25">
      <c r="A9971" t="str">
        <f>T("   200990")</f>
        <v xml:space="preserve">   200990</v>
      </c>
      <c r="B997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9971">
        <v>1390115</v>
      </c>
      <c r="D9971">
        <v>3800</v>
      </c>
    </row>
    <row r="9972" spans="1:4" x14ac:dyDescent="0.25">
      <c r="A9972" t="str">
        <f>T("   210210")</f>
        <v xml:space="preserve">   210210</v>
      </c>
      <c r="B9972" t="str">
        <f>T("   Levures vivantes")</f>
        <v xml:space="preserve">   Levures vivantes</v>
      </c>
      <c r="C9972">
        <v>133157362</v>
      </c>
      <c r="D9972">
        <v>101774</v>
      </c>
    </row>
    <row r="9973" spans="1:4" x14ac:dyDescent="0.25">
      <c r="A9973" t="str">
        <f>T("   210220")</f>
        <v xml:space="preserve">   210220</v>
      </c>
      <c r="B9973" t="str">
        <f>T("   Levures mortes; autres micro-organismes monocellulaires morts (à l'excl. des micro-organismes monocellulaires conditionnés comme médicaments)")</f>
        <v xml:space="preserve">   Levures mortes; autres micro-organismes monocellulaires morts (à l'excl. des micro-organismes monocellulaires conditionnés comme médicaments)</v>
      </c>
      <c r="C9973">
        <v>91204855</v>
      </c>
      <c r="D9973">
        <v>68920</v>
      </c>
    </row>
    <row r="9974" spans="1:4" x14ac:dyDescent="0.25">
      <c r="A9974" t="str">
        <f>T("   210410")</f>
        <v xml:space="preserve">   210410</v>
      </c>
      <c r="B9974" t="str">
        <f>T("   Préparations pour soupes, potages ou bouillons; soupes, potages ou bouillons préparés")</f>
        <v xml:space="preserve">   Préparations pour soupes, potages ou bouillons; soupes, potages ou bouillons préparés</v>
      </c>
      <c r="C9974">
        <v>6345636</v>
      </c>
      <c r="D9974">
        <v>29668</v>
      </c>
    </row>
    <row r="9975" spans="1:4" x14ac:dyDescent="0.25">
      <c r="A9975" t="str">
        <f>T("   210690")</f>
        <v xml:space="preserve">   210690</v>
      </c>
      <c r="B9975" t="str">
        <f>T("   Préparations alimentaires, n.d.a.")</f>
        <v xml:space="preserve">   Préparations alimentaires, n.d.a.</v>
      </c>
      <c r="C9975">
        <v>61367243</v>
      </c>
      <c r="D9975">
        <v>47433</v>
      </c>
    </row>
    <row r="9976" spans="1:4" x14ac:dyDescent="0.25">
      <c r="A9976" t="str">
        <f>T("   220290")</f>
        <v xml:space="preserve">   220290</v>
      </c>
      <c r="B9976" t="str">
        <f>T("   BOISSONS NON-ALCOOLIQUES (À L'EXCL. DES EAUX, DES JUS DE FRUITS OU DE LÉGUMES AINSI QUE DU LAIT)")</f>
        <v xml:space="preserve">   BOISSONS NON-ALCOOLIQUES (À L'EXCL. DES EAUX, DES JUS DE FRUITS OU DE LÉGUMES AINSI QUE DU LAIT)</v>
      </c>
      <c r="C9976">
        <v>16150740</v>
      </c>
      <c r="D9976">
        <v>59166</v>
      </c>
    </row>
    <row r="9977" spans="1:4" x14ac:dyDescent="0.25">
      <c r="A9977" t="str">
        <f>T("   220300")</f>
        <v xml:space="preserve">   220300</v>
      </c>
      <c r="B9977" t="str">
        <f>T("   Bières de malt")</f>
        <v xml:space="preserve">   Bières de malt</v>
      </c>
      <c r="C9977">
        <v>314170308</v>
      </c>
      <c r="D9977">
        <v>1344349</v>
      </c>
    </row>
    <row r="9978" spans="1:4" x14ac:dyDescent="0.25">
      <c r="A9978" t="str">
        <f>T("   252020")</f>
        <v xml:space="preserve">   252020</v>
      </c>
      <c r="B9978" t="str">
        <f>T("   Plâtres, même colorés ou additionnés de faibles quantités d'accélérateurs ou de retardateurs")</f>
        <v xml:space="preserve">   Plâtres, même colorés ou additionnés de faibles quantités d'accélérateurs ou de retardateurs</v>
      </c>
      <c r="C9978">
        <v>36808107</v>
      </c>
      <c r="D9978">
        <v>550480</v>
      </c>
    </row>
    <row r="9979" spans="1:4" x14ac:dyDescent="0.25">
      <c r="A9979" t="str">
        <f>T("   252310")</f>
        <v xml:space="preserve">   252310</v>
      </c>
      <c r="B9979" t="str">
        <f>T("   Ciments non pulvérisés dits 'clinkers'")</f>
        <v xml:space="preserve">   Ciments non pulvérisés dits 'clinkers'</v>
      </c>
      <c r="C9979">
        <v>3532375000</v>
      </c>
      <c r="D9979">
        <v>100925000</v>
      </c>
    </row>
    <row r="9980" spans="1:4" x14ac:dyDescent="0.25">
      <c r="A9980" t="str">
        <f>T("   271019")</f>
        <v xml:space="preserve">   271019</v>
      </c>
      <c r="B9980" t="str">
        <f>T("   Huiles moyennes et préparations, de pétrole ou de minéraux bitumineux, n.d.a.")</f>
        <v xml:space="preserve">   Huiles moyennes et préparations, de pétrole ou de minéraux bitumineux, n.d.a.</v>
      </c>
      <c r="C9980">
        <v>1124458120</v>
      </c>
      <c r="D9980">
        <v>4186826</v>
      </c>
    </row>
    <row r="9981" spans="1:4" x14ac:dyDescent="0.25">
      <c r="A9981" t="str">
        <f>T("   280610")</f>
        <v xml:space="preserve">   280610</v>
      </c>
      <c r="B9981" t="str">
        <f>T("   Chlorure d'hydrogène [acide chlorhydrique]")</f>
        <v xml:space="preserve">   Chlorure d'hydrogène [acide chlorhydrique]</v>
      </c>
      <c r="C9981">
        <v>158665</v>
      </c>
      <c r="D9981">
        <v>590</v>
      </c>
    </row>
    <row r="9982" spans="1:4" x14ac:dyDescent="0.25">
      <c r="A9982" t="str">
        <f>T("   321410")</f>
        <v xml:space="preserve">   321410</v>
      </c>
      <c r="B9982" t="str">
        <f>T("   Mastic de vitrier, ciments de résine et autres mastics; enduits utilisés en peinture")</f>
        <v xml:space="preserve">   Mastic de vitrier, ciments de résine et autres mastics; enduits utilisés en peinture</v>
      </c>
      <c r="C9982">
        <v>286651</v>
      </c>
      <c r="D9982">
        <v>955</v>
      </c>
    </row>
    <row r="9983" spans="1:4" x14ac:dyDescent="0.25">
      <c r="A9983" t="str">
        <f>T("   330720")</f>
        <v xml:space="preserve">   330720</v>
      </c>
      <c r="B9983" t="str">
        <f>T("   Désodorisants corporels et antisudoraux, préparés")</f>
        <v xml:space="preserve">   Désodorisants corporels et antisudoraux, préparés</v>
      </c>
      <c r="C9983">
        <v>9037186</v>
      </c>
      <c r="D9983">
        <v>9066</v>
      </c>
    </row>
    <row r="9984" spans="1:4" x14ac:dyDescent="0.25">
      <c r="A9984" t="str">
        <f>T("   340119")</f>
        <v xml:space="preserve">   340119</v>
      </c>
      <c r="B9984" t="s">
        <v>99</v>
      </c>
      <c r="C9984">
        <v>440149</v>
      </c>
      <c r="D9984">
        <v>8200</v>
      </c>
    </row>
    <row r="9985" spans="1:4" x14ac:dyDescent="0.25">
      <c r="A9985" t="str">
        <f>T("   340220")</f>
        <v xml:space="preserve">   340220</v>
      </c>
      <c r="B9985" t="s">
        <v>100</v>
      </c>
      <c r="C9985">
        <v>6350908</v>
      </c>
      <c r="D9985">
        <v>24332</v>
      </c>
    </row>
    <row r="9986" spans="1:4" x14ac:dyDescent="0.25">
      <c r="A9986" t="str">
        <f>T("   340520")</f>
        <v xml:space="preserve">   340520</v>
      </c>
      <c r="B9986" t="s">
        <v>106</v>
      </c>
      <c r="C9986">
        <v>169211</v>
      </c>
      <c r="D9986">
        <v>198</v>
      </c>
    </row>
    <row r="9987" spans="1:4" x14ac:dyDescent="0.25">
      <c r="A9987" t="str">
        <f>T("   380810")</f>
        <v xml:space="preserve">   380810</v>
      </c>
      <c r="B9987"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9987">
        <v>981230</v>
      </c>
      <c r="D9987">
        <v>1010</v>
      </c>
    </row>
    <row r="9988" spans="1:4" x14ac:dyDescent="0.25">
      <c r="A9988" t="str">
        <f>T("   381900")</f>
        <v xml:space="preserve">   381900</v>
      </c>
      <c r="B9988"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9988">
        <v>12918003</v>
      </c>
      <c r="D9988">
        <v>40292</v>
      </c>
    </row>
    <row r="9989" spans="1:4" x14ac:dyDescent="0.25">
      <c r="A9989" t="str">
        <f>T("   390750")</f>
        <v xml:space="preserve">   390750</v>
      </c>
      <c r="B9989" t="str">
        <f>T("   Résines alkydes, sous formes primaires")</f>
        <v xml:space="preserve">   Résines alkydes, sous formes primaires</v>
      </c>
      <c r="C9989">
        <v>48980880</v>
      </c>
      <c r="D9989">
        <v>61602</v>
      </c>
    </row>
    <row r="9990" spans="1:4" x14ac:dyDescent="0.25">
      <c r="A9990" t="str">
        <f>T("   391910")</f>
        <v xml:space="preserve">   391910</v>
      </c>
      <c r="B9990"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9990">
        <v>429646</v>
      </c>
      <c r="D9990">
        <v>5000</v>
      </c>
    </row>
    <row r="9991" spans="1:4" x14ac:dyDescent="0.25">
      <c r="A9991" t="str">
        <f>T("   392329")</f>
        <v xml:space="preserve">   392329</v>
      </c>
      <c r="B9991" t="str">
        <f>T("   Sacs, sachets, pochettes et cornets, en matières plastiques (autres que les polymères de l'éthylène)")</f>
        <v xml:space="preserve">   Sacs, sachets, pochettes et cornets, en matières plastiques (autres que les polymères de l'éthylène)</v>
      </c>
      <c r="C9991">
        <v>65235</v>
      </c>
      <c r="D9991">
        <v>147.55000000000001</v>
      </c>
    </row>
    <row r="9992" spans="1:4" x14ac:dyDescent="0.25">
      <c r="A9992" t="str">
        <f>T("   392350")</f>
        <v xml:space="preserve">   392350</v>
      </c>
      <c r="B9992" t="str">
        <f>T("   Bouchons, couvercles, capsules et autres dispositifs de fermeture, en matières plastiques")</f>
        <v xml:space="preserve">   Bouchons, couvercles, capsules et autres dispositifs de fermeture, en matières plastiques</v>
      </c>
      <c r="C9992">
        <v>17014947</v>
      </c>
      <c r="D9992">
        <v>10404</v>
      </c>
    </row>
    <row r="9993" spans="1:4" x14ac:dyDescent="0.25">
      <c r="A9993" t="str">
        <f>T("   392410")</f>
        <v xml:space="preserve">   392410</v>
      </c>
      <c r="B9993" t="str">
        <f>T("   Vaisselle et autres articles pour le service de la table ou de la cuisine, en matières plastiques")</f>
        <v xml:space="preserve">   Vaisselle et autres articles pour le service de la table ou de la cuisine, en matières plastiques</v>
      </c>
      <c r="C9993">
        <v>7265503</v>
      </c>
      <c r="D9993">
        <v>4570</v>
      </c>
    </row>
    <row r="9994" spans="1:4" x14ac:dyDescent="0.25">
      <c r="A9994" t="str">
        <f>T("   392490")</f>
        <v xml:space="preserve">   392490</v>
      </c>
      <c r="B9994" t="s">
        <v>143</v>
      </c>
      <c r="C9994">
        <v>420390</v>
      </c>
      <c r="D9994">
        <v>15559</v>
      </c>
    </row>
    <row r="9995" spans="1:4" x14ac:dyDescent="0.25">
      <c r="A9995" t="str">
        <f>T("   392590")</f>
        <v xml:space="preserve">   392590</v>
      </c>
      <c r="B9995" t="s">
        <v>144</v>
      </c>
      <c r="C9995">
        <v>20845412</v>
      </c>
      <c r="D9995">
        <v>2500</v>
      </c>
    </row>
    <row r="9996" spans="1:4" x14ac:dyDescent="0.25">
      <c r="A9996" t="str">
        <f>T("   400942")</f>
        <v xml:space="preserve">   400942</v>
      </c>
      <c r="B9996" t="s">
        <v>150</v>
      </c>
      <c r="C9996">
        <v>2322098</v>
      </c>
      <c r="D9996">
        <v>1844</v>
      </c>
    </row>
    <row r="9997" spans="1:4" x14ac:dyDescent="0.25">
      <c r="A9997" t="str">
        <f>T("   481820")</f>
        <v xml:space="preserve">   481820</v>
      </c>
      <c r="B9997"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9997">
        <v>748783</v>
      </c>
      <c r="D9997">
        <v>1305.49</v>
      </c>
    </row>
    <row r="9998" spans="1:4" x14ac:dyDescent="0.25">
      <c r="A9998" t="str">
        <f>T("   481840")</f>
        <v xml:space="preserve">   481840</v>
      </c>
      <c r="B9998"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9998">
        <v>29554215</v>
      </c>
      <c r="D9998">
        <v>46953.55</v>
      </c>
    </row>
    <row r="9999" spans="1:4" x14ac:dyDescent="0.25">
      <c r="A9999" t="str">
        <f>T("   482370")</f>
        <v xml:space="preserve">   482370</v>
      </c>
      <c r="B9999" t="str">
        <f>T("   Articles moulés ou pressés en pâte à papier, n.d.a.")</f>
        <v xml:space="preserve">   Articles moulés ou pressés en pâte à papier, n.d.a.</v>
      </c>
      <c r="C9999">
        <v>710600</v>
      </c>
      <c r="D9999">
        <v>1745</v>
      </c>
    </row>
    <row r="10000" spans="1:4" x14ac:dyDescent="0.25">
      <c r="A10000" t="str">
        <f>T("   491000")</f>
        <v xml:space="preserve">   491000</v>
      </c>
      <c r="B10000" t="str">
        <f>T("   Calendriers de tous genres, imprimés, y.c. les blocs de calendriers à effeuiller")</f>
        <v xml:space="preserve">   Calendriers de tous genres, imprimés, y.c. les blocs de calendriers à effeuiller</v>
      </c>
      <c r="C10000">
        <v>24520</v>
      </c>
      <c r="D10000">
        <v>74</v>
      </c>
    </row>
    <row r="10001" spans="1:4" x14ac:dyDescent="0.25">
      <c r="A10001" t="str">
        <f>T("   491110")</f>
        <v xml:space="preserve">   491110</v>
      </c>
      <c r="B10001" t="str">
        <f>T("   Imprimés publicitaires, catalogues commerciaux et simil.")</f>
        <v xml:space="preserve">   Imprimés publicitaires, catalogues commerciaux et simil.</v>
      </c>
      <c r="C10001">
        <v>6212</v>
      </c>
      <c r="D10001">
        <v>2.1800000000000002</v>
      </c>
    </row>
    <row r="10002" spans="1:4" x14ac:dyDescent="0.25">
      <c r="A10002" t="str">
        <f>T("   570190")</f>
        <v xml:space="preserve">   570190</v>
      </c>
      <c r="B10002"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10002">
        <v>14140</v>
      </c>
      <c r="D10002">
        <v>696</v>
      </c>
    </row>
    <row r="10003" spans="1:4" x14ac:dyDescent="0.25">
      <c r="A10003" t="str">
        <f>T("   590700")</f>
        <v xml:space="preserve">   590700</v>
      </c>
      <c r="B10003" t="str">
        <f>T("   Tissus imprégnés, enduits ou recouverts, n.d.a.; toiles peintes pour décors de théâtres, fonds d'atelier ou usages analogues")</f>
        <v xml:space="preserve">   Tissus imprégnés, enduits ou recouverts, n.d.a.; toiles peintes pour décors de théâtres, fonds d'atelier ou usages analogues</v>
      </c>
      <c r="C10003">
        <v>262384</v>
      </c>
      <c r="D10003">
        <v>13</v>
      </c>
    </row>
    <row r="10004" spans="1:4" x14ac:dyDescent="0.25">
      <c r="A10004" t="str">
        <f>T("   610910")</f>
        <v xml:space="preserve">   610910</v>
      </c>
      <c r="B10004" t="str">
        <f>T("   T-shirts et maillots de corps, en bonneterie, de coton,")</f>
        <v xml:space="preserve">   T-shirts et maillots de corps, en bonneterie, de coton,</v>
      </c>
      <c r="C10004">
        <v>65590</v>
      </c>
      <c r="D10004">
        <v>37</v>
      </c>
    </row>
    <row r="10005" spans="1:4" x14ac:dyDescent="0.25">
      <c r="A10005" t="str">
        <f>T("   621040")</f>
        <v xml:space="preserve">   621040</v>
      </c>
      <c r="B10005" t="s">
        <v>265</v>
      </c>
      <c r="C10005">
        <v>3607780</v>
      </c>
      <c r="D10005">
        <v>21920</v>
      </c>
    </row>
    <row r="10006" spans="1:4" x14ac:dyDescent="0.25">
      <c r="A10006" t="str">
        <f>T("   650699")</f>
        <v xml:space="preserve">   650699</v>
      </c>
      <c r="B10006" t="str">
        <f>T("   Chapeaux et autres coiffures, même garnis, n.d.a.")</f>
        <v xml:space="preserve">   Chapeaux et autres coiffures, même garnis, n.d.a.</v>
      </c>
      <c r="C10006">
        <v>11256</v>
      </c>
      <c r="D10006">
        <v>2</v>
      </c>
    </row>
    <row r="10007" spans="1:4" x14ac:dyDescent="0.25">
      <c r="A10007" t="str">
        <f>T("   680221")</f>
        <v xml:space="preserve">   680221</v>
      </c>
      <c r="B10007" t="s">
        <v>287</v>
      </c>
      <c r="C10007">
        <v>114202</v>
      </c>
      <c r="D10007">
        <v>100</v>
      </c>
    </row>
    <row r="10008" spans="1:4" x14ac:dyDescent="0.25">
      <c r="A10008" t="str">
        <f>T("   680919")</f>
        <v xml:space="preserve">   680919</v>
      </c>
      <c r="B10008" t="s">
        <v>297</v>
      </c>
      <c r="C10008">
        <v>6231282</v>
      </c>
      <c r="D10008">
        <v>112000</v>
      </c>
    </row>
    <row r="10009" spans="1:4" x14ac:dyDescent="0.25">
      <c r="A10009" t="str">
        <f>T("   691010")</f>
        <v xml:space="preserve">   691010</v>
      </c>
      <c r="B10009" t="s">
        <v>309</v>
      </c>
      <c r="C10009">
        <v>3327029</v>
      </c>
      <c r="D10009">
        <v>7000</v>
      </c>
    </row>
    <row r="10010" spans="1:4" x14ac:dyDescent="0.25">
      <c r="A10010" t="str">
        <f>T("   691190")</f>
        <v xml:space="preserve">   691190</v>
      </c>
      <c r="B10010" t="s">
        <v>312</v>
      </c>
      <c r="C10010">
        <v>285999</v>
      </c>
      <c r="D10010">
        <v>50</v>
      </c>
    </row>
    <row r="10011" spans="1:4" x14ac:dyDescent="0.25">
      <c r="A10011" t="str">
        <f>T("   691200")</f>
        <v xml:space="preserve">   691200</v>
      </c>
      <c r="B10011" t="s">
        <v>313</v>
      </c>
      <c r="C10011">
        <v>1542743</v>
      </c>
      <c r="D10011">
        <v>1137.04</v>
      </c>
    </row>
    <row r="10012" spans="1:4" x14ac:dyDescent="0.25">
      <c r="A10012" t="str">
        <f>T("   700529")</f>
        <v xml:space="preserve">   700529</v>
      </c>
      <c r="B10012" t="s">
        <v>315</v>
      </c>
      <c r="C10012">
        <v>3330480</v>
      </c>
      <c r="D10012">
        <v>23770.02</v>
      </c>
    </row>
    <row r="10013" spans="1:4" x14ac:dyDescent="0.25">
      <c r="A10013" t="str">
        <f>T("   700992")</f>
        <v xml:space="preserve">   700992</v>
      </c>
      <c r="B10013" t="str">
        <f>T("   Miroirs, en verre encadrés (sauf miroirs rétroviseurs pour véhicules)")</f>
        <v xml:space="preserve">   Miroirs, en verre encadrés (sauf miroirs rétroviseurs pour véhicules)</v>
      </c>
      <c r="C10013">
        <v>2363319</v>
      </c>
      <c r="D10013">
        <v>828.68</v>
      </c>
    </row>
    <row r="10014" spans="1:4" x14ac:dyDescent="0.25">
      <c r="A10014" t="str">
        <f>T("   721190")</f>
        <v xml:space="preserve">   721190</v>
      </c>
      <c r="B10014" t="str">
        <f>T("   PRODUITS LAMINÉS PLATS, EN FER OU EN ACIERS NON-ALLIÉS, D'UNE LARGEUR &lt; 600 MM, LAMINÉS À CHAUD OU À FROID ET AYANT SUBI CERTAINES OUVRAISONS PLUS POUSSÉES, MAIS NON-PLAQUÉS NI REVÊTUS")</f>
        <v xml:space="preserve">   PRODUITS LAMINÉS PLATS, EN FER OU EN ACIERS NON-ALLIÉS, D'UNE LARGEUR &lt; 600 MM, LAMINÉS À CHAUD OU À FROID ET AYANT SUBI CERTAINES OUVRAISONS PLUS POUSSÉES, MAIS NON-PLAQUÉS NI REVÊTUS</v>
      </c>
      <c r="C10014">
        <v>11243634</v>
      </c>
      <c r="D10014">
        <v>33882</v>
      </c>
    </row>
    <row r="10015" spans="1:4" x14ac:dyDescent="0.25">
      <c r="A10015" t="str">
        <f>T("   721420")</f>
        <v xml:space="preserve">   721420</v>
      </c>
      <c r="B10015"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0015">
        <v>112130999</v>
      </c>
      <c r="D10015">
        <v>798750</v>
      </c>
    </row>
    <row r="10016" spans="1:4" x14ac:dyDescent="0.25">
      <c r="A10016" t="str">
        <f>T("   721499")</f>
        <v xml:space="preserve">   721499</v>
      </c>
      <c r="B10016" t="s">
        <v>340</v>
      </c>
      <c r="C10016">
        <v>10692381</v>
      </c>
      <c r="D10016">
        <v>27944</v>
      </c>
    </row>
    <row r="10017" spans="1:4" x14ac:dyDescent="0.25">
      <c r="A10017" t="str">
        <f>T("   721590")</f>
        <v xml:space="preserve">   721590</v>
      </c>
      <c r="B10017"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10017">
        <v>7500247</v>
      </c>
      <c r="D10017">
        <v>30000</v>
      </c>
    </row>
    <row r="10018" spans="1:4" x14ac:dyDescent="0.25">
      <c r="A10018" t="str">
        <f>T("   721610")</f>
        <v xml:space="preserve">   721610</v>
      </c>
      <c r="B10018" t="str">
        <f>T("   PROFILÉS U, I OU H EN FER OU EN ACIERS NON ALLIÉS, SIMPLEMENT LAMINÉS OU FILÉS À CHAUD, HAUTEUR &lt; 80 MM")</f>
        <v xml:space="preserve">   PROFILÉS U, I OU H EN FER OU EN ACIERS NON ALLIÉS, SIMPLEMENT LAMINÉS OU FILÉS À CHAUD, HAUTEUR &lt; 80 MM</v>
      </c>
      <c r="C10018">
        <v>10091276</v>
      </c>
      <c r="D10018">
        <v>30539</v>
      </c>
    </row>
    <row r="10019" spans="1:4" x14ac:dyDescent="0.25">
      <c r="A10019" t="str">
        <f>T("   721631")</f>
        <v xml:space="preserve">   721631</v>
      </c>
      <c r="B10019" t="str">
        <f>T("   PROFILÉS EN U, EN FER OU EN ACIERS NON-ALLIÉS, SIMPL. LAMINÉS OU FILÉS À CHAUD, D'UNE HAUTEUR &gt;= 80 MM")</f>
        <v xml:space="preserve">   PROFILÉS EN U, EN FER OU EN ACIERS NON-ALLIÉS, SIMPL. LAMINÉS OU FILÉS À CHAUD, D'UNE HAUTEUR &gt;= 80 MM</v>
      </c>
      <c r="C10019">
        <v>3330524</v>
      </c>
      <c r="D10019">
        <v>9650</v>
      </c>
    </row>
    <row r="10020" spans="1:4" x14ac:dyDescent="0.25">
      <c r="A10020" t="str">
        <f>T("   721699")</f>
        <v xml:space="preserve">   721699</v>
      </c>
      <c r="B10020" t="s">
        <v>341</v>
      </c>
      <c r="C10020">
        <v>2815129</v>
      </c>
      <c r="D10020">
        <v>8849</v>
      </c>
    </row>
    <row r="10021" spans="1:4" x14ac:dyDescent="0.25">
      <c r="A10021" t="str">
        <f>T("   722699")</f>
        <v xml:space="preserve">   722699</v>
      </c>
      <c r="B10021" t="str">
        <f>T("   PRODUITS LAMINÉS PLATS EN ACIERS ALLIÉS AUTRES QU'ACIERS INOXYDABLES, LARGEUR &lt; 600 MM, LAMINÉS À CHAUD OU À FROID ET AUTREMENT TRAITÉS (SAUF PRODUITS EN ACIERS À COUPE RAPIDE OU ACIERS AU SILICIUM DITS -MAGNÉTIQUES-)")</f>
        <v xml:space="preserve">   PRODUITS LAMINÉS PLATS EN ACIERS ALLIÉS AUTRES QU'ACIERS INOXYDABLES, LARGEUR &lt; 600 MM, LAMINÉS À CHAUD OU À FROID ET AUTREMENT TRAITÉS (SAUF PRODUITS EN ACIERS À COUPE RAPIDE OU ACIERS AU SILICIUM DITS -MAGNÉTIQUES-)</v>
      </c>
      <c r="C10021">
        <v>1479846</v>
      </c>
      <c r="D10021">
        <v>24798</v>
      </c>
    </row>
    <row r="10022" spans="1:4" x14ac:dyDescent="0.25">
      <c r="A10022" t="str">
        <f>T("   730410")</f>
        <v xml:space="preserve">   730410</v>
      </c>
      <c r="B10022" t="str">
        <f>T("   Tubes et tuyaux sans soudure, en fer (à l'excl. de la fonte) ou en acier, des types utilisés pour oléoducs ou gazoducs")</f>
        <v xml:space="preserve">   Tubes et tuyaux sans soudure, en fer (à l'excl. de la fonte) ou en acier, des types utilisés pour oléoducs ou gazoducs</v>
      </c>
      <c r="C10022">
        <v>22209337</v>
      </c>
      <c r="D10022">
        <v>3510</v>
      </c>
    </row>
    <row r="10023" spans="1:4" x14ac:dyDescent="0.25">
      <c r="A10023" t="str">
        <f>T("   730890")</f>
        <v xml:space="preserve">   730890</v>
      </c>
      <c r="B10023" t="s">
        <v>349</v>
      </c>
      <c r="C10023">
        <v>1305350</v>
      </c>
      <c r="D10023">
        <v>5697</v>
      </c>
    </row>
    <row r="10024" spans="1:4" x14ac:dyDescent="0.25">
      <c r="A10024" t="str">
        <f>T("   730900")</f>
        <v xml:space="preserve">   730900</v>
      </c>
      <c r="B10024" t="s">
        <v>350</v>
      </c>
      <c r="C10024">
        <v>2650806</v>
      </c>
      <c r="D10024">
        <v>820</v>
      </c>
    </row>
    <row r="10025" spans="1:4" x14ac:dyDescent="0.25">
      <c r="A10025" t="str">
        <f>T("   731100")</f>
        <v xml:space="preserve">   731100</v>
      </c>
      <c r="B10025"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10025">
        <v>15508245</v>
      </c>
      <c r="D10025">
        <v>7600</v>
      </c>
    </row>
    <row r="10026" spans="1:4" x14ac:dyDescent="0.25">
      <c r="A10026" t="str">
        <f>T("   731815")</f>
        <v xml:space="preserve">   731815</v>
      </c>
      <c r="B10026" t="s">
        <v>354</v>
      </c>
      <c r="C10026">
        <v>362873</v>
      </c>
      <c r="D10026">
        <v>5000</v>
      </c>
    </row>
    <row r="10027" spans="1:4" x14ac:dyDescent="0.25">
      <c r="A10027" t="str">
        <f>T("   732111")</f>
        <v xml:space="preserve">   732111</v>
      </c>
      <c r="B10027" t="s">
        <v>356</v>
      </c>
      <c r="C10027">
        <v>1659302</v>
      </c>
      <c r="D10027">
        <v>1083</v>
      </c>
    </row>
    <row r="10028" spans="1:4" x14ac:dyDescent="0.25">
      <c r="A10028" t="str">
        <f>T("   732113")</f>
        <v xml:space="preserve">   732113</v>
      </c>
      <c r="B10028" t="str">
        <f>T("   Appareils de cuisson tels que foyers de cuisson, barbecues, grilloirs, réchauds et cuisinières, et chauffe-plats, à usage domestique, en fonte, fer ou acier, à combustibles solides (à l'excl. des appareils destinés à la cuisine à grande échelle)")</f>
        <v xml:space="preserve">   Appareils de cuisson tels que foyers de cuisson, barbecues, grilloirs, réchauds et cuisinières, et chauffe-plats, à usage domestique, en fonte, fer ou acier, à combustibles solides (à l'excl. des appareils destinés à la cuisine à grande échelle)</v>
      </c>
      <c r="C10028">
        <v>4237080</v>
      </c>
      <c r="D10028">
        <v>6290</v>
      </c>
    </row>
    <row r="10029" spans="1:4" x14ac:dyDescent="0.25">
      <c r="A10029" t="str">
        <f>T("   732190")</f>
        <v xml:space="preserve">   732190</v>
      </c>
      <c r="B10029" t="str">
        <f>T("   Parties des appareils ménagers chauffants non-électriques du n° 7321, n.d.a.")</f>
        <v xml:space="preserve">   Parties des appareils ménagers chauffants non-électriques du n° 7321, n.d.a.</v>
      </c>
      <c r="C10029">
        <v>16061837</v>
      </c>
      <c r="D10029">
        <v>2044</v>
      </c>
    </row>
    <row r="10030" spans="1:4" x14ac:dyDescent="0.25">
      <c r="A10030" t="str">
        <f>T("   761010")</f>
        <v xml:space="preserve">   761010</v>
      </c>
      <c r="B10030" t="str">
        <f>T("   Portes, fenêtres et leurs cadres, chambranles et seuils, en aluminium (sauf pièces de garnissage)")</f>
        <v xml:space="preserve">   Portes, fenêtres et leurs cadres, chambranles et seuils, en aluminium (sauf pièces de garnissage)</v>
      </c>
      <c r="C10030">
        <v>31393</v>
      </c>
      <c r="D10030">
        <v>1745</v>
      </c>
    </row>
    <row r="10031" spans="1:4" x14ac:dyDescent="0.25">
      <c r="A10031" t="str">
        <f>T("   800110")</f>
        <v xml:space="preserve">   800110</v>
      </c>
      <c r="B10031" t="str">
        <f>T("   ÉTAIN SOUS FORME BRUTE, NON ALLIÉ")</f>
        <v xml:space="preserve">   ÉTAIN SOUS FORME BRUTE, NON ALLIÉ</v>
      </c>
      <c r="C10031">
        <v>10000000</v>
      </c>
      <c r="D10031">
        <v>52910</v>
      </c>
    </row>
    <row r="10032" spans="1:4" x14ac:dyDescent="0.25">
      <c r="A10032" t="str">
        <f>T("   820551")</f>
        <v xml:space="preserve">   820551</v>
      </c>
      <c r="B10032" t="str">
        <f>T("   Outils à main d'économie domestique, non mécaniques, avec partie travaillante en métaux communs, n.d.a.")</f>
        <v xml:space="preserve">   Outils à main d'économie domestique, non mécaniques, avec partie travaillante en métaux communs, n.d.a.</v>
      </c>
      <c r="C10032">
        <v>108812</v>
      </c>
      <c r="D10032">
        <v>19918</v>
      </c>
    </row>
    <row r="10033" spans="1:4" x14ac:dyDescent="0.25">
      <c r="A10033" t="str">
        <f>T("   820559")</f>
        <v xml:space="preserve">   820559</v>
      </c>
      <c r="B10033" t="str">
        <f>T("   Outils à main, y.c. -les diamants de vitrier-, en métaux communs, n.d.a.")</f>
        <v xml:space="preserve">   Outils à main, y.c. -les diamants de vitrier-, en métaux communs, n.d.a.</v>
      </c>
      <c r="C10033">
        <v>645780</v>
      </c>
      <c r="D10033">
        <v>5002</v>
      </c>
    </row>
    <row r="10034" spans="1:4" x14ac:dyDescent="0.25">
      <c r="A10034" t="str">
        <f>T("   830160")</f>
        <v xml:space="preserve">   830160</v>
      </c>
      <c r="B10034" t="str">
        <f>T("   Parties des cadenas, serrures et verrous, ainsi que des fermoirs et montures-fermoirs, avec serrure, en métaux communs, n.d.a.")</f>
        <v xml:space="preserve">   Parties des cadenas, serrures et verrous, ainsi que des fermoirs et montures-fermoirs, avec serrure, en métaux communs, n.d.a.</v>
      </c>
      <c r="C10034">
        <v>11308</v>
      </c>
      <c r="D10034">
        <v>1745</v>
      </c>
    </row>
    <row r="10035" spans="1:4" x14ac:dyDescent="0.25">
      <c r="A10035" t="str">
        <f>T("   830210")</f>
        <v xml:space="preserve">   830210</v>
      </c>
      <c r="B10035" t="str">
        <f>T("   Charnières de tous genres, y.c. les paumelles et pentures, en métaux communs")</f>
        <v xml:space="preserve">   Charnières de tous genres, y.c. les paumelles et pentures, en métaux communs</v>
      </c>
      <c r="C10035">
        <v>18059</v>
      </c>
      <c r="D10035">
        <v>1745</v>
      </c>
    </row>
    <row r="10036" spans="1:4" x14ac:dyDescent="0.25">
      <c r="A10036" t="str">
        <f>T("   830820")</f>
        <v xml:space="preserve">   830820</v>
      </c>
      <c r="B10036" t="str">
        <f>T("   Rivets tubulaires ou à tige fendue, en métaux communs")</f>
        <v xml:space="preserve">   Rivets tubulaires ou à tige fendue, en métaux communs</v>
      </c>
      <c r="C10036">
        <v>174181</v>
      </c>
      <c r="D10036">
        <v>2000</v>
      </c>
    </row>
    <row r="10037" spans="1:4" x14ac:dyDescent="0.25">
      <c r="A10037" t="str">
        <f>T("   831000")</f>
        <v xml:space="preserve">   831000</v>
      </c>
      <c r="B10037" t="s">
        <v>383</v>
      </c>
      <c r="C10037">
        <v>49964</v>
      </c>
      <c r="D10037">
        <v>438</v>
      </c>
    </row>
    <row r="10038" spans="1:4" x14ac:dyDescent="0.25">
      <c r="A10038" t="str">
        <f>T("   841221")</f>
        <v xml:space="preserve">   841221</v>
      </c>
      <c r="B10038" t="str">
        <f>T("   Moteurs hydrauliques à mouvement rectiligne -cylindres-")</f>
        <v xml:space="preserve">   Moteurs hydrauliques à mouvement rectiligne -cylindres-</v>
      </c>
      <c r="C10038">
        <v>4947906</v>
      </c>
      <c r="D10038">
        <v>304</v>
      </c>
    </row>
    <row r="10039" spans="1:4" x14ac:dyDescent="0.25">
      <c r="A10039" t="str">
        <f>T("   841430")</f>
        <v xml:space="preserve">   841430</v>
      </c>
      <c r="B10039" t="str">
        <f>T("   Compresseurs des types utilisés pour équipements frigorifiques")</f>
        <v xml:space="preserve">   Compresseurs des types utilisés pour équipements frigorifiques</v>
      </c>
      <c r="C10039">
        <v>282800</v>
      </c>
      <c r="D10039">
        <v>696</v>
      </c>
    </row>
    <row r="10040" spans="1:4" x14ac:dyDescent="0.25">
      <c r="A10040" t="str">
        <f>T("   841510")</f>
        <v xml:space="preserve">   841510</v>
      </c>
      <c r="B10040" t="s">
        <v>400</v>
      </c>
      <c r="C10040">
        <v>35350</v>
      </c>
      <c r="D10040">
        <v>696</v>
      </c>
    </row>
    <row r="10041" spans="1:4" x14ac:dyDescent="0.25">
      <c r="A10041" t="str">
        <f>T("   841720")</f>
        <v xml:space="preserve">   841720</v>
      </c>
      <c r="B10041" t="str">
        <f>T("   Fours non-électriques, de boulangerie, de pâtisserie ou de biscuiterie")</f>
        <v xml:space="preserve">   Fours non-électriques, de boulangerie, de pâtisserie ou de biscuiterie</v>
      </c>
      <c r="C10041">
        <v>212099</v>
      </c>
      <c r="D10041">
        <v>696</v>
      </c>
    </row>
    <row r="10042" spans="1:4" x14ac:dyDescent="0.25">
      <c r="A10042" t="str">
        <f>T("   841821")</f>
        <v xml:space="preserve">   841821</v>
      </c>
      <c r="B10042" t="str">
        <f>T("   Réfrigérateurs ménagers à compression")</f>
        <v xml:space="preserve">   Réfrigérateurs ménagers à compression</v>
      </c>
      <c r="C10042">
        <v>11416327</v>
      </c>
      <c r="D10042">
        <v>4494</v>
      </c>
    </row>
    <row r="10043" spans="1:4" x14ac:dyDescent="0.25">
      <c r="A10043" t="str">
        <f>T("   841829")</f>
        <v xml:space="preserve">   841829</v>
      </c>
      <c r="B10043" t="str">
        <f>T("   Réfrigérateurs ménagers à absorption, non-électriques")</f>
        <v xml:space="preserve">   Réfrigérateurs ménagers à absorption, non-électriques</v>
      </c>
      <c r="C10043">
        <v>6230308</v>
      </c>
      <c r="D10043">
        <v>3460</v>
      </c>
    </row>
    <row r="10044" spans="1:4" x14ac:dyDescent="0.25">
      <c r="A10044" t="str">
        <f>T("   841850")</f>
        <v xml:space="preserve">   841850</v>
      </c>
      <c r="B10044" t="s">
        <v>404</v>
      </c>
      <c r="C10044">
        <v>1415521</v>
      </c>
      <c r="D10044">
        <v>19918</v>
      </c>
    </row>
    <row r="10045" spans="1:4" x14ac:dyDescent="0.25">
      <c r="A10045" t="str">
        <f>T("   845019")</f>
        <v xml:space="preserve">   845019</v>
      </c>
      <c r="B10045"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10045">
        <v>4035465</v>
      </c>
      <c r="D10045">
        <v>3241</v>
      </c>
    </row>
    <row r="10046" spans="1:4" x14ac:dyDescent="0.25">
      <c r="A10046" t="str">
        <f>T("   846599")</f>
        <v xml:space="preserve">   846599</v>
      </c>
      <c r="B10046" t="s">
        <v>431</v>
      </c>
      <c r="C10046">
        <v>2260809</v>
      </c>
      <c r="D10046">
        <v>5745</v>
      </c>
    </row>
    <row r="10047" spans="1:4" x14ac:dyDescent="0.25">
      <c r="A10047" t="str">
        <f>T("   846721")</f>
        <v xml:space="preserve">   846721</v>
      </c>
      <c r="B10047" t="str">
        <f>T("   Perceuses à moteur électrique incorporé, pour emploi à la main, y.c. les perforatrices rotatives")</f>
        <v xml:space="preserve">   Perceuses à moteur électrique incorporé, pour emploi à la main, y.c. les perforatrices rotatives</v>
      </c>
      <c r="C10047">
        <v>14275</v>
      </c>
      <c r="D10047">
        <v>100</v>
      </c>
    </row>
    <row r="10048" spans="1:4" x14ac:dyDescent="0.25">
      <c r="A10048" t="str">
        <f>T("   851531")</f>
        <v xml:space="preserve">   851531</v>
      </c>
      <c r="B10048" t="str">
        <f>T("   Machines et appareils pour le soudage des métaux à l'arc ou au jet de plasma, entièrement ou partiellement automatiques")</f>
        <v xml:space="preserve">   Machines et appareils pour le soudage des métaux à l'arc ou au jet de plasma, entièrement ou partiellement automatiques</v>
      </c>
      <c r="C10048">
        <v>35688</v>
      </c>
      <c r="D10048">
        <v>100</v>
      </c>
    </row>
    <row r="10049" spans="1:4" x14ac:dyDescent="0.25">
      <c r="A10049" t="str">
        <f>T("   851660")</f>
        <v xml:space="preserve">   851660</v>
      </c>
      <c r="B10049"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10049">
        <v>3757786</v>
      </c>
      <c r="D10049">
        <v>4661</v>
      </c>
    </row>
    <row r="10050" spans="1:4" x14ac:dyDescent="0.25">
      <c r="A10050" t="str">
        <f>T("   852812")</f>
        <v xml:space="preserve">   852812</v>
      </c>
      <c r="B10050"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050">
        <v>12625879</v>
      </c>
      <c r="D10050">
        <v>6412</v>
      </c>
    </row>
    <row r="10051" spans="1:4" x14ac:dyDescent="0.25">
      <c r="A10051" t="str">
        <f>T("   854420")</f>
        <v xml:space="preserve">   854420</v>
      </c>
      <c r="B10051" t="str">
        <f>T("   Câbles coaxiaux et autres conducteurs électriques coaxiaux, isolés")</f>
        <v xml:space="preserve">   Câbles coaxiaux et autres conducteurs électriques coaxiaux, isolés</v>
      </c>
      <c r="C10051">
        <v>16227915</v>
      </c>
      <c r="D10051">
        <v>40119</v>
      </c>
    </row>
    <row r="10052" spans="1:4" x14ac:dyDescent="0.25">
      <c r="A10052" t="str">
        <f>T("   854610")</f>
        <v xml:space="preserve">   854610</v>
      </c>
      <c r="B10052" t="str">
        <f>T("   Isolateurs en verre, pour l'électricité (sauf pièces isolantes)")</f>
        <v xml:space="preserve">   Isolateurs en verre, pour l'électricité (sauf pièces isolantes)</v>
      </c>
      <c r="C10052">
        <v>10180</v>
      </c>
      <c r="D10052">
        <v>696</v>
      </c>
    </row>
    <row r="10053" spans="1:4" x14ac:dyDescent="0.25">
      <c r="A10053" t="str">
        <f>T("   870590")</f>
        <v xml:space="preserve">   870590</v>
      </c>
      <c r="B10053" t="s">
        <v>483</v>
      </c>
      <c r="C10053">
        <v>387794151</v>
      </c>
      <c r="D10053">
        <v>52790</v>
      </c>
    </row>
    <row r="10054" spans="1:4" x14ac:dyDescent="0.25">
      <c r="A10054" t="str">
        <f>T("   870899")</f>
        <v xml:space="preserve">   870899</v>
      </c>
      <c r="B1005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0054">
        <v>1593984</v>
      </c>
      <c r="D10054">
        <v>1317</v>
      </c>
    </row>
    <row r="10055" spans="1:4" x14ac:dyDescent="0.25">
      <c r="A10055" t="str">
        <f>T("   871680")</f>
        <v xml:space="preserve">   871680</v>
      </c>
      <c r="B10055" t="str">
        <f>T("   Véhicules dirigés à la main et autres véhicules non automobiles, autres que remorques et semi-remorques")</f>
        <v xml:space="preserve">   Véhicules dirigés à la main et autres véhicules non automobiles, autres que remorques et semi-remorques</v>
      </c>
      <c r="C10055">
        <v>77770</v>
      </c>
      <c r="D10055">
        <v>696</v>
      </c>
    </row>
    <row r="10056" spans="1:4" x14ac:dyDescent="0.25">
      <c r="A10056" t="str">
        <f>T("   902620")</f>
        <v xml:space="preserve">   902620</v>
      </c>
      <c r="B10056"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10056">
        <v>850912</v>
      </c>
      <c r="D10056">
        <v>6</v>
      </c>
    </row>
    <row r="10057" spans="1:4" x14ac:dyDescent="0.25">
      <c r="A10057" t="str">
        <f>T("   903289")</f>
        <v xml:space="preserve">   903289</v>
      </c>
      <c r="B10057" t="s">
        <v>501</v>
      </c>
      <c r="C10057">
        <v>1354557</v>
      </c>
      <c r="D10057">
        <v>164</v>
      </c>
    </row>
    <row r="10058" spans="1:4" x14ac:dyDescent="0.25">
      <c r="A10058" t="str">
        <f>T("   940180")</f>
        <v xml:space="preserve">   940180</v>
      </c>
      <c r="B10058" t="str">
        <f>T("   Sièges, n.d.a.")</f>
        <v xml:space="preserve">   Sièges, n.d.a.</v>
      </c>
      <c r="C10058">
        <v>23043874</v>
      </c>
      <c r="D10058">
        <v>5824</v>
      </c>
    </row>
    <row r="10059" spans="1:4" x14ac:dyDescent="0.25">
      <c r="A10059" t="str">
        <f>T("   940340")</f>
        <v xml:space="preserve">   940340</v>
      </c>
      <c r="B10059" t="str">
        <f>T("   Meubles de cuisine, en bois (sauf sièges)")</f>
        <v xml:space="preserve">   Meubles de cuisine, en bois (sauf sièges)</v>
      </c>
      <c r="C10059">
        <v>199374</v>
      </c>
      <c r="D10059">
        <v>696</v>
      </c>
    </row>
    <row r="10060" spans="1:4" x14ac:dyDescent="0.25">
      <c r="A10060" t="str">
        <f>T("   940360")</f>
        <v xml:space="preserve">   940360</v>
      </c>
      <c r="B10060" t="str">
        <f>T("   Meubles en bois (autres que pour bureaux, cuisines ou chambres à coucher et autres que sièges)")</f>
        <v xml:space="preserve">   Meubles en bois (autres que pour bureaux, cuisines ou chambres à coucher et autres que sièges)</v>
      </c>
      <c r="C10060">
        <v>994094</v>
      </c>
      <c r="D10060">
        <v>272.86</v>
      </c>
    </row>
    <row r="10061" spans="1:4" x14ac:dyDescent="0.25">
      <c r="A10061" t="str">
        <f>T("   940370")</f>
        <v xml:space="preserve">   940370</v>
      </c>
      <c r="B10061"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0061">
        <v>12370094</v>
      </c>
      <c r="D10061">
        <v>3126</v>
      </c>
    </row>
    <row r="10062" spans="1:4" x14ac:dyDescent="0.25">
      <c r="A10062" t="str">
        <f>T("   940540")</f>
        <v xml:space="preserve">   940540</v>
      </c>
      <c r="B10062" t="str">
        <f>T("   Appareils d'éclairage électrique, n.d.a.")</f>
        <v xml:space="preserve">   Appareils d'éclairage électrique, n.d.a.</v>
      </c>
      <c r="C10062">
        <v>26512</v>
      </c>
      <c r="D10062">
        <v>696</v>
      </c>
    </row>
    <row r="10063" spans="1:4" x14ac:dyDescent="0.25">
      <c r="A10063" t="str">
        <f>T("   960810")</f>
        <v xml:space="preserve">   960810</v>
      </c>
      <c r="B10063" t="str">
        <f>T("   Stylos et crayons à bille")</f>
        <v xml:space="preserve">   Stylos et crayons à bille</v>
      </c>
      <c r="C10063">
        <v>1936</v>
      </c>
      <c r="D10063">
        <v>0.67</v>
      </c>
    </row>
    <row r="10064" spans="1:4" x14ac:dyDescent="0.25">
      <c r="A10064" t="str">
        <f>T("   961310")</f>
        <v xml:space="preserve">   961310</v>
      </c>
      <c r="B10064" t="str">
        <f>T("   Briquets de poche, à gaz (non rechargeables)")</f>
        <v xml:space="preserve">   Briquets de poche, à gaz (non rechargeables)</v>
      </c>
      <c r="C10064">
        <v>98267</v>
      </c>
      <c r="D10064">
        <v>148</v>
      </c>
    </row>
    <row r="10065" spans="1:4" x14ac:dyDescent="0.25">
      <c r="A10065" t="str">
        <f>T("TT")</f>
        <v>TT</v>
      </c>
      <c r="B10065" t="str">
        <f>T("Trinitad et Tobago")</f>
        <v>Trinitad et Tobago</v>
      </c>
    </row>
    <row r="10066" spans="1:4" x14ac:dyDescent="0.25">
      <c r="A10066" t="str">
        <f>T("   ZZ_Total_Produit_SH6")</f>
        <v xml:space="preserve">   ZZ_Total_Produit_SH6</v>
      </c>
      <c r="B10066" t="str">
        <f>T("   ZZ_Total_Produit_SH6")</f>
        <v xml:space="preserve">   ZZ_Total_Produit_SH6</v>
      </c>
      <c r="C10066">
        <v>246632859</v>
      </c>
      <c r="D10066">
        <v>518420</v>
      </c>
    </row>
    <row r="10067" spans="1:4" x14ac:dyDescent="0.25">
      <c r="A10067" t="str">
        <f>T("   271113")</f>
        <v xml:space="preserve">   271113</v>
      </c>
      <c r="B10067" t="str">
        <f>T("   Butanes, liquéfiés (à l'excl. des butanes d'une pureté &gt;= 95% en n-butane ou en isobutane)")</f>
        <v xml:space="preserve">   Butanes, liquéfiés (à l'excl. des butanes d'une pureté &gt;= 95% en n-butane ou en isobutane)</v>
      </c>
      <c r="C10067">
        <v>246632859</v>
      </c>
      <c r="D10067">
        <v>518420</v>
      </c>
    </row>
    <row r="10068" spans="1:4" x14ac:dyDescent="0.25">
      <c r="A10068" t="str">
        <f>T("TW")</f>
        <v>TW</v>
      </c>
      <c r="B10068" t="str">
        <f>T("Taïwan, Province de Chine")</f>
        <v>Taïwan, Province de Chine</v>
      </c>
    </row>
    <row r="10069" spans="1:4" x14ac:dyDescent="0.25">
      <c r="A10069" t="str">
        <f>T("   ZZ_Total_Produit_SH6")</f>
        <v xml:space="preserve">   ZZ_Total_Produit_SH6</v>
      </c>
      <c r="B10069" t="str">
        <f>T("   ZZ_Total_Produit_SH6")</f>
        <v xml:space="preserve">   ZZ_Total_Produit_SH6</v>
      </c>
      <c r="C10069">
        <v>1695150915</v>
      </c>
      <c r="D10069">
        <v>38325812</v>
      </c>
    </row>
    <row r="10070" spans="1:4" x14ac:dyDescent="0.25">
      <c r="A10070" t="str">
        <f>T("   180690")</f>
        <v xml:space="preserve">   180690</v>
      </c>
      <c r="B10070"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10070">
        <v>5895526</v>
      </c>
      <c r="D10070">
        <v>21859</v>
      </c>
    </row>
    <row r="10071" spans="1:4" x14ac:dyDescent="0.25">
      <c r="A10071" t="str">
        <f>T("   200919")</f>
        <v xml:space="preserve">   200919</v>
      </c>
      <c r="B10071"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0071">
        <v>3945530</v>
      </c>
      <c r="D10071">
        <v>14922</v>
      </c>
    </row>
    <row r="10072" spans="1:4" x14ac:dyDescent="0.25">
      <c r="A10072" t="str">
        <f>T("   200949")</f>
        <v xml:space="preserve">   200949</v>
      </c>
      <c r="B10072"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10072">
        <v>3897115</v>
      </c>
      <c r="D10072">
        <v>14737</v>
      </c>
    </row>
    <row r="10073" spans="1:4" x14ac:dyDescent="0.25">
      <c r="A10073" t="str">
        <f>T("   200990")</f>
        <v xml:space="preserve">   200990</v>
      </c>
      <c r="B10073"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073">
        <v>7838332</v>
      </c>
      <c r="D10073">
        <v>29643</v>
      </c>
    </row>
    <row r="10074" spans="1:4" x14ac:dyDescent="0.25">
      <c r="A10074" t="str">
        <f>T("   252310")</f>
        <v xml:space="preserve">   252310</v>
      </c>
      <c r="B10074" t="str">
        <f>T("   Ciments non pulvérisés dits 'clinkers'")</f>
        <v xml:space="preserve">   Ciments non pulvérisés dits 'clinkers'</v>
      </c>
      <c r="C10074">
        <v>1330000000</v>
      </c>
      <c r="D10074">
        <v>38000000</v>
      </c>
    </row>
    <row r="10075" spans="1:4" x14ac:dyDescent="0.25">
      <c r="A10075" t="str">
        <f>T("   392390")</f>
        <v xml:space="preserve">   392390</v>
      </c>
      <c r="B10075" t="s">
        <v>142</v>
      </c>
      <c r="C10075">
        <v>17520794</v>
      </c>
      <c r="D10075">
        <v>11109</v>
      </c>
    </row>
    <row r="10076" spans="1:4" x14ac:dyDescent="0.25">
      <c r="A10076" t="str">
        <f>T("   401110")</f>
        <v xml:space="preserve">   401110</v>
      </c>
      <c r="B10076"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076">
        <v>101017716</v>
      </c>
      <c r="D10076">
        <v>43675</v>
      </c>
    </row>
    <row r="10077" spans="1:4" x14ac:dyDescent="0.25">
      <c r="A10077" t="str">
        <f>T("   520852")</f>
        <v xml:space="preserve">   520852</v>
      </c>
      <c r="B10077" t="str">
        <f>T("   Tissus de coton, imprimés, à armure toile, contenant &gt;= 85% en poids de coton, d'un poids &gt; 100 g/m² mais &lt;= 200 g/m²")</f>
        <v xml:space="preserve">   Tissus de coton, imprimés, à armure toile, contenant &gt;= 85% en poids de coton, d'un poids &gt; 100 g/m² mais &lt;= 200 g/m²</v>
      </c>
      <c r="C10077">
        <v>61097643</v>
      </c>
      <c r="D10077">
        <v>68118</v>
      </c>
    </row>
    <row r="10078" spans="1:4" x14ac:dyDescent="0.25">
      <c r="A10078" t="str">
        <f>T("   551321")</f>
        <v xml:space="preserve">   551321</v>
      </c>
      <c r="B10078" t="str">
        <f>T("   Tissus, teints, de fibres discontinues de polyester, contenant en prédominance, mais &lt; 85% en poids de ces fibres, mélangés principalement ou uniquement avec du coton, à armure toile, d'un poids &lt;= 170 g/m²")</f>
        <v xml:space="preserve">   Tissus, teints, de fibres discontinues de polyester, contenant en prédominance, mais &lt; 85% en poids de ces fibres, mélangés principalement ou uniquement avec du coton, à armure toile, d'un poids &lt;= 170 g/m²</v>
      </c>
      <c r="C10078">
        <v>37982515</v>
      </c>
      <c r="D10078">
        <v>49182</v>
      </c>
    </row>
    <row r="10079" spans="1:4" x14ac:dyDescent="0.25">
      <c r="A10079" t="str">
        <f>T("   551519")</f>
        <v xml:space="preserve">   551519</v>
      </c>
      <c r="B10079" t="s">
        <v>231</v>
      </c>
      <c r="C10079">
        <v>27901823</v>
      </c>
      <c r="D10079">
        <v>40460</v>
      </c>
    </row>
    <row r="10080" spans="1:4" x14ac:dyDescent="0.25">
      <c r="A10080" t="str">
        <f>T("   841451")</f>
        <v xml:space="preserve">   841451</v>
      </c>
      <c r="B10080"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10080">
        <v>6135681</v>
      </c>
      <c r="D10080">
        <v>4750</v>
      </c>
    </row>
    <row r="10081" spans="1:4" x14ac:dyDescent="0.25">
      <c r="A10081" t="str">
        <f>T("   846229")</f>
        <v xml:space="preserve">   846229</v>
      </c>
      <c r="B10081" t="str">
        <f>T("   Machines, y.c. -les presses-, à rouler, cintrer, plier, dresser ou planer, pour le travail des métaux (autres qu'à commande numérique)")</f>
        <v xml:space="preserve">   Machines, y.c. -les presses-, à rouler, cintrer, plier, dresser ou planer, pour le travail des métaux (autres qu'à commande numérique)</v>
      </c>
      <c r="C10081">
        <v>62024535</v>
      </c>
      <c r="D10081">
        <v>15220</v>
      </c>
    </row>
    <row r="10082" spans="1:4" x14ac:dyDescent="0.25">
      <c r="A10082" t="str">
        <f>T("   851220")</f>
        <v xml:space="preserve">   851220</v>
      </c>
      <c r="B10082" t="str">
        <f>T("   Appareils électriques d'éclairage ou de signalisation visuelle, pour automobiles (à l'excl. des lampes du n° 8539)")</f>
        <v xml:space="preserve">   Appareils électriques d'éclairage ou de signalisation visuelle, pour automobiles (à l'excl. des lampes du n° 8539)</v>
      </c>
      <c r="C10082">
        <v>18333701</v>
      </c>
      <c r="D10082">
        <v>6687</v>
      </c>
    </row>
    <row r="10083" spans="1:4" x14ac:dyDescent="0.25">
      <c r="A10083" t="str">
        <f>T("   851790")</f>
        <v xml:space="preserve">   851790</v>
      </c>
      <c r="B10083" t="s">
        <v>454</v>
      </c>
      <c r="C10083">
        <v>1234326</v>
      </c>
      <c r="D10083">
        <v>250</v>
      </c>
    </row>
    <row r="10084" spans="1:4" x14ac:dyDescent="0.25">
      <c r="A10084" t="str">
        <f>T("   871120")</f>
        <v xml:space="preserve">   871120</v>
      </c>
      <c r="B10084" t="str">
        <f>T("   Motocycles à moteur à piston alternatif, cylindrée &gt; 50 cm³ mais &lt;= 250 cm³")</f>
        <v xml:space="preserve">   Motocycles à moteur à piston alternatif, cylindrée &gt; 50 cm³ mais &lt;= 250 cm³</v>
      </c>
      <c r="C10084">
        <v>10325678</v>
      </c>
      <c r="D10084">
        <v>5200</v>
      </c>
    </row>
    <row r="10085" spans="1:4" x14ac:dyDescent="0.25">
      <c r="A10085" t="str">
        <f>T("TZ")</f>
        <v>TZ</v>
      </c>
      <c r="B10085" t="str">
        <f>T("Tanzanie")</f>
        <v>Tanzanie</v>
      </c>
    </row>
    <row r="10086" spans="1:4" x14ac:dyDescent="0.25">
      <c r="A10086" t="str">
        <f>T("   ZZ_Total_Produit_SH6")</f>
        <v xml:space="preserve">   ZZ_Total_Produit_SH6</v>
      </c>
      <c r="B10086" t="str">
        <f>T("   ZZ_Total_Produit_SH6")</f>
        <v xml:space="preserve">   ZZ_Total_Produit_SH6</v>
      </c>
      <c r="C10086">
        <v>3078162</v>
      </c>
      <c r="D10086">
        <v>3150</v>
      </c>
    </row>
    <row r="10087" spans="1:4" x14ac:dyDescent="0.25">
      <c r="A10087" t="str">
        <f>T("   701329")</f>
        <v xml:space="preserve">   701329</v>
      </c>
      <c r="B10087" t="str">
        <f>T("   Verres à boire (autres qu'en vitrocérame, autres qu'en cristal au plomb)")</f>
        <v xml:space="preserve">   Verres à boire (autres qu'en vitrocérame, autres qu'en cristal au plomb)</v>
      </c>
      <c r="C10087">
        <v>667255</v>
      </c>
      <c r="D10087">
        <v>600</v>
      </c>
    </row>
    <row r="10088" spans="1:4" x14ac:dyDescent="0.25">
      <c r="A10088" t="str">
        <f>T("   841829")</f>
        <v xml:space="preserve">   841829</v>
      </c>
      <c r="B10088" t="str">
        <f>T("   Réfrigérateurs ménagers à absorption, non-électriques")</f>
        <v xml:space="preserve">   Réfrigérateurs ménagers à absorption, non-électriques</v>
      </c>
      <c r="C10088">
        <v>263643</v>
      </c>
      <c r="D10088">
        <v>950</v>
      </c>
    </row>
    <row r="10089" spans="1:4" x14ac:dyDescent="0.25">
      <c r="A10089" t="str">
        <f>T("   847180")</f>
        <v xml:space="preserve">   847180</v>
      </c>
      <c r="B10089"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0089">
        <v>1284433</v>
      </c>
      <c r="D10089">
        <v>150</v>
      </c>
    </row>
    <row r="10090" spans="1:4" x14ac:dyDescent="0.25">
      <c r="A10090" t="str">
        <f>T("   852812")</f>
        <v xml:space="preserve">   852812</v>
      </c>
      <c r="B10090"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090">
        <v>71903</v>
      </c>
      <c r="D10090">
        <v>100</v>
      </c>
    </row>
    <row r="10091" spans="1:4" x14ac:dyDescent="0.25">
      <c r="A10091" t="str">
        <f>T("   940360")</f>
        <v xml:space="preserve">   940360</v>
      </c>
      <c r="B10091" t="str">
        <f>T("   Meubles en bois (autres que pour bureaux, cuisines ou chambres à coucher et autres que sièges)")</f>
        <v xml:space="preserve">   Meubles en bois (autres que pour bureaux, cuisines ou chambres à coucher et autres que sièges)</v>
      </c>
      <c r="C10091">
        <v>790928</v>
      </c>
      <c r="D10091">
        <v>1350</v>
      </c>
    </row>
    <row r="10092" spans="1:4" x14ac:dyDescent="0.25">
      <c r="A10092" t="str">
        <f>T("UA")</f>
        <v>UA</v>
      </c>
      <c r="B10092" t="str">
        <f>T("Ukraine")</f>
        <v>Ukraine</v>
      </c>
    </row>
    <row r="10093" spans="1:4" x14ac:dyDescent="0.25">
      <c r="A10093" t="str">
        <f>T("   ZZ_Total_Produit_SH6")</f>
        <v xml:space="preserve">   ZZ_Total_Produit_SH6</v>
      </c>
      <c r="B10093" t="str">
        <f>T("   ZZ_Total_Produit_SH6")</f>
        <v xml:space="preserve">   ZZ_Total_Produit_SH6</v>
      </c>
      <c r="C10093">
        <v>820351243.73800004</v>
      </c>
      <c r="D10093">
        <v>2152868</v>
      </c>
    </row>
    <row r="10094" spans="1:4" x14ac:dyDescent="0.25">
      <c r="A10094" t="str">
        <f>T("   110100")</f>
        <v xml:space="preserve">   110100</v>
      </c>
      <c r="B10094" t="str">
        <f>T("   Farines de froment [blé] ou de méteil")</f>
        <v xml:space="preserve">   Farines de froment [blé] ou de méteil</v>
      </c>
      <c r="C10094">
        <v>11853172.738</v>
      </c>
      <c r="D10094">
        <v>44088</v>
      </c>
    </row>
    <row r="10095" spans="1:4" x14ac:dyDescent="0.25">
      <c r="A10095" t="str">
        <f>T("   340290")</f>
        <v xml:space="preserve">   340290</v>
      </c>
      <c r="B10095" t="s">
        <v>101</v>
      </c>
      <c r="C10095">
        <v>2332038</v>
      </c>
      <c r="D10095">
        <v>410</v>
      </c>
    </row>
    <row r="10096" spans="1:4" x14ac:dyDescent="0.25">
      <c r="A10096" t="str">
        <f>T("   721391")</f>
        <v xml:space="preserve">   721391</v>
      </c>
      <c r="B10096"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0096">
        <v>786025664</v>
      </c>
      <c r="D10096">
        <v>2104800</v>
      </c>
    </row>
    <row r="10097" spans="1:4" x14ac:dyDescent="0.25">
      <c r="A10097" t="str">
        <f>T("   831130")</f>
        <v xml:space="preserve">   831130</v>
      </c>
      <c r="B10097" t="s">
        <v>384</v>
      </c>
      <c r="C10097">
        <v>3911016</v>
      </c>
      <c r="D10097">
        <v>690</v>
      </c>
    </row>
    <row r="10098" spans="1:4" x14ac:dyDescent="0.25">
      <c r="A10098" t="str">
        <f>T("   854420")</f>
        <v xml:space="preserve">   854420</v>
      </c>
      <c r="B10098" t="str">
        <f>T("   Câbles coaxiaux et autres conducteurs électriques coaxiaux, isolés")</f>
        <v xml:space="preserve">   Câbles coaxiaux et autres conducteurs électriques coaxiaux, isolés</v>
      </c>
      <c r="C10098">
        <v>16229353</v>
      </c>
      <c r="D10098">
        <v>2880</v>
      </c>
    </row>
    <row r="10099" spans="1:4" x14ac:dyDescent="0.25">
      <c r="A10099" t="str">
        <f>T("UM")</f>
        <v>UM</v>
      </c>
      <c r="B10099" t="str">
        <f>T("îles mineures éloignées(Etats-Unis)")</f>
        <v>îles mineures éloignées(Etats-Unis)</v>
      </c>
    </row>
    <row r="10100" spans="1:4" x14ac:dyDescent="0.25">
      <c r="A10100" t="str">
        <f>T("   ZZ_Total_Produit_SH6")</f>
        <v xml:space="preserve">   ZZ_Total_Produit_SH6</v>
      </c>
      <c r="B10100" t="str">
        <f>T("   ZZ_Total_Produit_SH6")</f>
        <v xml:space="preserve">   ZZ_Total_Produit_SH6</v>
      </c>
      <c r="C10100">
        <v>693389</v>
      </c>
      <c r="D10100">
        <v>35</v>
      </c>
    </row>
    <row r="10101" spans="1:4" x14ac:dyDescent="0.25">
      <c r="A10101" t="str">
        <f>T("   392690")</f>
        <v xml:space="preserve">   392690</v>
      </c>
      <c r="B10101" t="str">
        <f>T("   Ouvrages en matières plastiques et ouvrages en autres matières du n° 3901 à 3914, n.d.a.")</f>
        <v xml:space="preserve">   Ouvrages en matières plastiques et ouvrages en autres matières du n° 3901 à 3914, n.d.a.</v>
      </c>
      <c r="C10101">
        <v>340704</v>
      </c>
      <c r="D10101">
        <v>15</v>
      </c>
    </row>
    <row r="10102" spans="1:4" x14ac:dyDescent="0.25">
      <c r="A10102" t="str">
        <f>T("   491199")</f>
        <v xml:space="preserve">   491199</v>
      </c>
      <c r="B10102" t="str">
        <f>T("   Imprimés, n.d.a.")</f>
        <v xml:space="preserve">   Imprimés, n.d.a.</v>
      </c>
      <c r="C10102">
        <v>352685</v>
      </c>
      <c r="D10102">
        <v>20</v>
      </c>
    </row>
    <row r="10103" spans="1:4" x14ac:dyDescent="0.25">
      <c r="A10103" t="str">
        <f>T("US")</f>
        <v>US</v>
      </c>
      <c r="B10103" t="str">
        <f>T("Etats-Unis")</f>
        <v>Etats-Unis</v>
      </c>
    </row>
    <row r="10104" spans="1:4" x14ac:dyDescent="0.25">
      <c r="A10104" t="str">
        <f>T("   ZZ_Total_Produit_SH6")</f>
        <v xml:space="preserve">   ZZ_Total_Produit_SH6</v>
      </c>
      <c r="B10104" t="str">
        <f>T("   ZZ_Total_Produit_SH6")</f>
        <v xml:space="preserve">   ZZ_Total_Produit_SH6</v>
      </c>
      <c r="C10104">
        <v>21757720518.605999</v>
      </c>
      <c r="D10104">
        <v>25975325.629999999</v>
      </c>
    </row>
    <row r="10105" spans="1:4" x14ac:dyDescent="0.25">
      <c r="A10105" t="str">
        <f>T("   020713")</f>
        <v xml:space="preserve">   020713</v>
      </c>
      <c r="B10105" t="str">
        <f>T("   Morceaux et abats comestibles de coqs et de poules [des espèces domestiques], frais ou réfrigérés")</f>
        <v xml:space="preserve">   Morceaux et abats comestibles de coqs et de poules [des espèces domestiques], frais ou réfrigérés</v>
      </c>
      <c r="C10105">
        <v>16000950</v>
      </c>
      <c r="D10105">
        <v>25725</v>
      </c>
    </row>
    <row r="10106" spans="1:4" x14ac:dyDescent="0.25">
      <c r="A10106" t="str">
        <f>T("   020714")</f>
        <v xml:space="preserve">   020714</v>
      </c>
      <c r="B10106" t="str">
        <f>T("   Morceaux et abats comestibles de coqs et de poules [des espèces domestiques], congelés")</f>
        <v xml:space="preserve">   Morceaux et abats comestibles de coqs et de poules [des espèces domestiques], congelés</v>
      </c>
      <c r="C10106">
        <v>121544482</v>
      </c>
      <c r="D10106">
        <v>194700</v>
      </c>
    </row>
    <row r="10107" spans="1:4" x14ac:dyDescent="0.25">
      <c r="A10107" t="str">
        <f>T("   020727")</f>
        <v xml:space="preserve">   020727</v>
      </c>
      <c r="B10107" t="str">
        <f>T("   Morceaux et abats comestibles de dindes et dindons [des espèces domestiques], congelés")</f>
        <v xml:space="preserve">   Morceaux et abats comestibles de dindes et dindons [des espèces domestiques], congelés</v>
      </c>
      <c r="C10107">
        <v>227273543</v>
      </c>
      <c r="D10107">
        <v>342204</v>
      </c>
    </row>
    <row r="10108" spans="1:4" x14ac:dyDescent="0.25">
      <c r="A10108" t="str">
        <f>T("   030379")</f>
        <v xml:space="preserve">   030379</v>
      </c>
      <c r="B10108" t="s">
        <v>17</v>
      </c>
      <c r="C10108">
        <v>11678056</v>
      </c>
      <c r="D10108">
        <v>51900</v>
      </c>
    </row>
    <row r="10109" spans="1:4" x14ac:dyDescent="0.25">
      <c r="A10109" t="str">
        <f>T("   040299")</f>
        <v xml:space="preserve">   040299</v>
      </c>
      <c r="B10109"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10109">
        <v>100000</v>
      </c>
      <c r="D10109">
        <v>8</v>
      </c>
    </row>
    <row r="10110" spans="1:4" x14ac:dyDescent="0.25">
      <c r="A10110" t="str">
        <f>T("   040690")</f>
        <v xml:space="preserve">   040690</v>
      </c>
      <c r="B10110" t="s">
        <v>18</v>
      </c>
      <c r="C10110">
        <v>12942</v>
      </c>
      <c r="D10110">
        <v>4</v>
      </c>
    </row>
    <row r="10111" spans="1:4" x14ac:dyDescent="0.25">
      <c r="A10111" t="str">
        <f>T("   080610")</f>
        <v xml:space="preserve">   080610</v>
      </c>
      <c r="B10111" t="str">
        <f>T("   Raisins, frais")</f>
        <v xml:space="preserve">   Raisins, frais</v>
      </c>
      <c r="C10111">
        <v>14000810</v>
      </c>
      <c r="D10111">
        <v>38713</v>
      </c>
    </row>
    <row r="10112" spans="1:4" x14ac:dyDescent="0.25">
      <c r="A10112" t="str">
        <f>T("   080810")</f>
        <v xml:space="preserve">   080810</v>
      </c>
      <c r="B10112" t="str">
        <f>T("   Pommes, fraîches")</f>
        <v xml:space="preserve">   Pommes, fraîches</v>
      </c>
      <c r="C10112">
        <v>14000810</v>
      </c>
      <c r="D10112">
        <v>50254</v>
      </c>
    </row>
    <row r="10113" spans="1:4" x14ac:dyDescent="0.25">
      <c r="A10113" t="str">
        <f>T("   100630")</f>
        <v xml:space="preserve">   100630</v>
      </c>
      <c r="B10113" t="str">
        <f>T("   Riz semi-blanchi ou blanchi, même poli ou glacé")</f>
        <v xml:space="preserve">   Riz semi-blanchi ou blanchi, même poli ou glacé</v>
      </c>
      <c r="C10113">
        <v>277587.61900000001</v>
      </c>
      <c r="D10113">
        <v>1000</v>
      </c>
    </row>
    <row r="10114" spans="1:4" x14ac:dyDescent="0.25">
      <c r="A10114" t="str">
        <f>T("   160413")</f>
        <v xml:space="preserve">   160413</v>
      </c>
      <c r="B10114"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10114">
        <v>100583</v>
      </c>
      <c r="D10114">
        <v>120</v>
      </c>
    </row>
    <row r="10115" spans="1:4" x14ac:dyDescent="0.25">
      <c r="A10115" t="str">
        <f>T("   170191")</f>
        <v xml:space="preserve">   170191</v>
      </c>
      <c r="B10115" t="str">
        <f>T("   Sucres de canne ou de betterave, à l'état solide, additionnés d'aromatisants ou de colorants")</f>
        <v xml:space="preserve">   Sucres de canne ou de betterave, à l'état solide, additionnés d'aromatisants ou de colorants</v>
      </c>
      <c r="C10115">
        <v>17506.987000000001</v>
      </c>
      <c r="D10115">
        <v>75</v>
      </c>
    </row>
    <row r="10116" spans="1:4" x14ac:dyDescent="0.25">
      <c r="A10116" t="str">
        <f>T("   170240")</f>
        <v xml:space="preserve">   170240</v>
      </c>
      <c r="B10116" t="str">
        <f>T("   Glucose, à l'état solide, et sirop de glucose, sans addition d'aromatisants ou de colorants, contenant en poids à l'état sec &gt;= 20% mais &lt; 50% de fructose (à l'excl. du sucre inverti [ou interverti])")</f>
        <v xml:space="preserve">   Glucose, à l'état solide, et sirop de glucose, sans addition d'aromatisants ou de colorants, contenant en poids à l'état sec &gt;= 20% mais &lt; 50% de fructose (à l'excl. du sucre inverti [ou interverti])</v>
      </c>
      <c r="C10116">
        <v>19763064</v>
      </c>
      <c r="D10116">
        <v>8165</v>
      </c>
    </row>
    <row r="10117" spans="1:4" x14ac:dyDescent="0.25">
      <c r="A10117" t="str">
        <f>T("   170410")</f>
        <v xml:space="preserve">   170410</v>
      </c>
      <c r="B10117" t="str">
        <f>T("   Gommes à mâcher [chewing-gum], même enrobées de sucre")</f>
        <v xml:space="preserve">   Gommes à mâcher [chewing-gum], même enrobées de sucre</v>
      </c>
      <c r="C10117">
        <v>5104598</v>
      </c>
      <c r="D10117">
        <v>24396</v>
      </c>
    </row>
    <row r="10118" spans="1:4" x14ac:dyDescent="0.25">
      <c r="A10118" t="str">
        <f>T("   170490")</f>
        <v xml:space="preserve">   170490</v>
      </c>
      <c r="B10118" t="str">
        <f>T("   Sucreries sans cacao, y.c. le chocolat blanc (à l'excl. des gommes à mâcher)")</f>
        <v xml:space="preserve">   Sucreries sans cacao, y.c. le chocolat blanc (à l'excl. des gommes à mâcher)</v>
      </c>
      <c r="C10118">
        <v>50889834</v>
      </c>
      <c r="D10118">
        <v>244043</v>
      </c>
    </row>
    <row r="10119" spans="1:4" x14ac:dyDescent="0.25">
      <c r="A10119" t="str">
        <f>T("   180610")</f>
        <v xml:space="preserve">   180610</v>
      </c>
      <c r="B10119" t="str">
        <f>T("   Poudre de cacao, additionnée de sucre ou d'autres édulcorants")</f>
        <v xml:space="preserve">   Poudre de cacao, additionnée de sucre ou d'autres édulcorants</v>
      </c>
      <c r="C10119">
        <v>2213159</v>
      </c>
      <c r="D10119">
        <v>9868</v>
      </c>
    </row>
    <row r="10120" spans="1:4" x14ac:dyDescent="0.25">
      <c r="A10120" t="str">
        <f>T("   180620")</f>
        <v xml:space="preserve">   180620</v>
      </c>
      <c r="B10120" t="s">
        <v>47</v>
      </c>
      <c r="C10120">
        <v>33837317</v>
      </c>
      <c r="D10120">
        <v>146900</v>
      </c>
    </row>
    <row r="10121" spans="1:4" x14ac:dyDescent="0.25">
      <c r="A10121" t="str">
        <f>T("   180631")</f>
        <v xml:space="preserve">   180631</v>
      </c>
      <c r="B10121"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10121">
        <v>35166077</v>
      </c>
      <c r="D10121">
        <v>120427</v>
      </c>
    </row>
    <row r="10122" spans="1:4" x14ac:dyDescent="0.25">
      <c r="A10122" t="str">
        <f>T("   180632")</f>
        <v xml:space="preserve">   180632</v>
      </c>
      <c r="B10122"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10122">
        <v>7011453</v>
      </c>
      <c r="D10122">
        <v>25160</v>
      </c>
    </row>
    <row r="10123" spans="1:4" x14ac:dyDescent="0.25">
      <c r="A10123" t="str">
        <f>T("   180690")</f>
        <v xml:space="preserve">   180690</v>
      </c>
      <c r="B10123"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10123">
        <v>12793873</v>
      </c>
      <c r="D10123">
        <v>52200</v>
      </c>
    </row>
    <row r="10124" spans="1:4" x14ac:dyDescent="0.25">
      <c r="A10124" t="str">
        <f>T("   190110")</f>
        <v xml:space="preserve">   190110</v>
      </c>
      <c r="B10124" t="s">
        <v>48</v>
      </c>
      <c r="C10124">
        <v>39358</v>
      </c>
      <c r="D10124">
        <v>20</v>
      </c>
    </row>
    <row r="10125" spans="1:4" x14ac:dyDescent="0.25">
      <c r="A10125" t="str">
        <f>T("   190230")</f>
        <v xml:space="preserve">   190230</v>
      </c>
      <c r="B10125" t="str">
        <f>T("   Pâtes alimentaires, cuites ou autrement préparées (à l'excl. des pâtes alimentaires farcies)")</f>
        <v xml:space="preserve">   Pâtes alimentaires, cuites ou autrement préparées (à l'excl. des pâtes alimentaires farcies)</v>
      </c>
      <c r="C10125">
        <v>13684990</v>
      </c>
      <c r="D10125">
        <v>43780</v>
      </c>
    </row>
    <row r="10126" spans="1:4" x14ac:dyDescent="0.25">
      <c r="A10126" t="str">
        <f>T("   190410")</f>
        <v xml:space="preserve">   190410</v>
      </c>
      <c r="B10126" t="str">
        <f>T("   PRODUITS À BASE DE CÉRÉALES OBTENUS PAR SOUFFLAGE OU GRILLAGE [CORN FLAKES, P.EX.]")</f>
        <v xml:space="preserve">   PRODUITS À BASE DE CÉRÉALES OBTENUS PAR SOUFFLAGE OU GRILLAGE [CORN FLAKES, P.EX.]</v>
      </c>
      <c r="C10126">
        <v>7670</v>
      </c>
      <c r="D10126">
        <v>1750</v>
      </c>
    </row>
    <row r="10127" spans="1:4" x14ac:dyDescent="0.25">
      <c r="A10127" t="str">
        <f>T("   190430")</f>
        <v xml:space="preserve">   190430</v>
      </c>
      <c r="B10127" t="str">
        <f>T("   Bulgur de blé sous forme de grains travaillés, obtenu par cuisson des grains de blé dur")</f>
        <v xml:space="preserve">   Bulgur de blé sous forme de grains travaillés, obtenu par cuisson des grains de blé dur</v>
      </c>
      <c r="C10127">
        <v>5678611</v>
      </c>
      <c r="D10127">
        <v>24550</v>
      </c>
    </row>
    <row r="10128" spans="1:4" x14ac:dyDescent="0.25">
      <c r="A10128" t="str">
        <f>T("   190531")</f>
        <v xml:space="preserve">   190531</v>
      </c>
      <c r="B10128" t="str">
        <f>T("   Biscuits additionnés d'édulcorants")</f>
        <v xml:space="preserve">   Biscuits additionnés d'édulcorants</v>
      </c>
      <c r="C10128">
        <v>104449917</v>
      </c>
      <c r="D10128">
        <v>480911.5</v>
      </c>
    </row>
    <row r="10129" spans="1:4" x14ac:dyDescent="0.25">
      <c r="A10129" t="str">
        <f>T("   190532")</f>
        <v xml:space="preserve">   190532</v>
      </c>
      <c r="B10129" t="str">
        <f>T("   GAUFRES ET GAUFRETTES")</f>
        <v xml:space="preserve">   GAUFRES ET GAUFRETTES</v>
      </c>
      <c r="C10129">
        <v>44172585</v>
      </c>
      <c r="D10129">
        <v>159165</v>
      </c>
    </row>
    <row r="10130" spans="1:4" x14ac:dyDescent="0.25">
      <c r="A10130" t="str">
        <f>T("   190540")</f>
        <v xml:space="preserve">   190540</v>
      </c>
      <c r="B10130" t="str">
        <f>T("   Biscottes, pain grillé et produits simil. grillés")</f>
        <v xml:space="preserve">   Biscottes, pain grillé et produits simil. grillés</v>
      </c>
      <c r="C10130">
        <v>9203520</v>
      </c>
      <c r="D10130">
        <v>33660</v>
      </c>
    </row>
    <row r="10131" spans="1:4" x14ac:dyDescent="0.25">
      <c r="A10131" t="str">
        <f>T("   190590")</f>
        <v xml:space="preserve">   190590</v>
      </c>
      <c r="B10131" t="s">
        <v>52</v>
      </c>
      <c r="C10131">
        <v>10446476</v>
      </c>
      <c r="D10131">
        <v>41779</v>
      </c>
    </row>
    <row r="10132" spans="1:4" x14ac:dyDescent="0.25">
      <c r="A10132" t="str">
        <f>T("   200580")</f>
        <v xml:space="preserve">   200580</v>
      </c>
      <c r="B10132" t="str">
        <f>T("   Maïs doux [Zea mays var. saccharata], préparé ou conservé autrement qu'au vinaigre ou à l'acide acétique, non congelé")</f>
        <v xml:space="preserve">   Maïs doux [Zea mays var. saccharata], préparé ou conservé autrement qu'au vinaigre ou à l'acide acétique, non congelé</v>
      </c>
      <c r="C10132">
        <v>3500000</v>
      </c>
      <c r="D10132">
        <v>43440</v>
      </c>
    </row>
    <row r="10133" spans="1:4" x14ac:dyDescent="0.25">
      <c r="A10133" t="str">
        <f>T("   200990")</f>
        <v xml:space="preserve">   200990</v>
      </c>
      <c r="B10133"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133">
        <v>8149</v>
      </c>
      <c r="D10133">
        <v>3</v>
      </c>
    </row>
    <row r="10134" spans="1:4" x14ac:dyDescent="0.25">
      <c r="A10134" t="str">
        <f>T("   210390")</f>
        <v xml:space="preserve">   210390</v>
      </c>
      <c r="B10134"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0134">
        <v>16821628</v>
      </c>
      <c r="D10134">
        <v>32000</v>
      </c>
    </row>
    <row r="10135" spans="1:4" x14ac:dyDescent="0.25">
      <c r="A10135" t="str">
        <f>T("   210690")</f>
        <v xml:space="preserve">   210690</v>
      </c>
      <c r="B10135" t="str">
        <f>T("   Préparations alimentaires, n.d.a.")</f>
        <v xml:space="preserve">   Préparations alimentaires, n.d.a.</v>
      </c>
      <c r="C10135">
        <v>227549875</v>
      </c>
      <c r="D10135">
        <v>46521</v>
      </c>
    </row>
    <row r="10136" spans="1:4" x14ac:dyDescent="0.25">
      <c r="A10136" t="str">
        <f>T("   220110")</f>
        <v xml:space="preserve">   220110</v>
      </c>
      <c r="B10136" t="str">
        <f>T("   Eaux minérales et eaux gazéifiées, non additionnées de sucre ou d'autres édulcorants ni aromatisées")</f>
        <v xml:space="preserve">   Eaux minérales et eaux gazéifiées, non additionnées de sucre ou d'autres édulcorants ni aromatisées</v>
      </c>
      <c r="C10136">
        <v>499962</v>
      </c>
      <c r="D10136">
        <v>330</v>
      </c>
    </row>
    <row r="10137" spans="1:4" x14ac:dyDescent="0.25">
      <c r="A10137" t="str">
        <f>T("   220290")</f>
        <v xml:space="preserve">   220290</v>
      </c>
      <c r="B10137" t="str">
        <f>T("   BOISSONS NON-ALCOOLIQUES (À L'EXCL. DES EAUX, DES JUS DE FRUITS OU DE LÉGUMES AINSI QUE DU LAIT)")</f>
        <v xml:space="preserve">   BOISSONS NON-ALCOOLIQUES (À L'EXCL. DES EAUX, DES JUS DE FRUITS OU DE LÉGUMES AINSI QUE DU LAIT)</v>
      </c>
      <c r="C10137">
        <v>94788377</v>
      </c>
      <c r="D10137">
        <v>33628.93</v>
      </c>
    </row>
    <row r="10138" spans="1:4" x14ac:dyDescent="0.25">
      <c r="A10138" t="str">
        <f>T("   220429")</f>
        <v xml:space="preserve">   220429</v>
      </c>
      <c r="B10138"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0138">
        <v>80027</v>
      </c>
      <c r="D10138">
        <v>41</v>
      </c>
    </row>
    <row r="10139" spans="1:4" x14ac:dyDescent="0.25">
      <c r="A10139" t="str">
        <f>T("   271019")</f>
        <v xml:space="preserve">   271019</v>
      </c>
      <c r="B10139" t="str">
        <f>T("   Huiles moyennes et préparations, de pétrole ou de minéraux bitumineux, n.d.a.")</f>
        <v xml:space="preserve">   Huiles moyennes et préparations, de pétrole ou de minéraux bitumineux, n.d.a.</v>
      </c>
      <c r="C10139">
        <v>22152920</v>
      </c>
      <c r="D10139">
        <v>2401452</v>
      </c>
    </row>
    <row r="10140" spans="1:4" x14ac:dyDescent="0.25">
      <c r="A10140" t="str">
        <f>T("   271113")</f>
        <v xml:space="preserve">   271113</v>
      </c>
      <c r="B10140" t="str">
        <f>T("   Butanes, liquéfiés (à l'excl. des butanes d'une pureté &gt;= 95% en n-butane ou en isobutane)")</f>
        <v xml:space="preserve">   Butanes, liquéfiés (à l'excl. des butanes d'une pureté &gt;= 95% en n-butane ou en isobutane)</v>
      </c>
      <c r="C10140">
        <v>140441273</v>
      </c>
      <c r="D10140">
        <v>267895</v>
      </c>
    </row>
    <row r="10141" spans="1:4" x14ac:dyDescent="0.25">
      <c r="A10141" t="str">
        <f>T("   300450")</f>
        <v xml:space="preserve">   300450</v>
      </c>
      <c r="B10141" t="s">
        <v>78</v>
      </c>
      <c r="C10141">
        <v>6232</v>
      </c>
      <c r="D10141">
        <v>2675</v>
      </c>
    </row>
    <row r="10142" spans="1:4" x14ac:dyDescent="0.25">
      <c r="A10142" t="str">
        <f>T("   300490")</f>
        <v xml:space="preserve">   300490</v>
      </c>
      <c r="B10142" t="s">
        <v>79</v>
      </c>
      <c r="C10142">
        <v>14860</v>
      </c>
      <c r="D10142">
        <v>7</v>
      </c>
    </row>
    <row r="10143" spans="1:4" x14ac:dyDescent="0.25">
      <c r="A10143" t="str">
        <f>T("   320890")</f>
        <v xml:space="preserve">   320890</v>
      </c>
      <c r="B10143" t="s">
        <v>93</v>
      </c>
      <c r="C10143">
        <v>25120579</v>
      </c>
      <c r="D10143">
        <v>2971</v>
      </c>
    </row>
    <row r="10144" spans="1:4" x14ac:dyDescent="0.25">
      <c r="A10144" t="str">
        <f>T("   321590")</f>
        <v xml:space="preserve">   321590</v>
      </c>
      <c r="B10144" t="str">
        <f>T("   Encres à écrire et à dessiner, même concentrées ou sous formes solides")</f>
        <v xml:space="preserve">   Encres à écrire et à dessiner, même concentrées ou sous formes solides</v>
      </c>
      <c r="C10144">
        <v>378789</v>
      </c>
      <c r="D10144">
        <v>13</v>
      </c>
    </row>
    <row r="10145" spans="1:4" x14ac:dyDescent="0.25">
      <c r="A10145" t="str">
        <f>T("   330300")</f>
        <v xml:space="preserve">   330300</v>
      </c>
      <c r="B10145"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0145">
        <v>2733910</v>
      </c>
      <c r="D10145">
        <v>621</v>
      </c>
    </row>
    <row r="10146" spans="1:4" x14ac:dyDescent="0.25">
      <c r="A10146" t="str">
        <f>T("   330410")</f>
        <v xml:space="preserve">   330410</v>
      </c>
      <c r="B10146" t="str">
        <f>T("   Produits de maquillage pour les lèvres")</f>
        <v xml:space="preserve">   Produits de maquillage pour les lèvres</v>
      </c>
      <c r="C10146">
        <v>289029</v>
      </c>
      <c r="D10146">
        <v>67</v>
      </c>
    </row>
    <row r="10147" spans="1:4" x14ac:dyDescent="0.25">
      <c r="A10147" t="str">
        <f>T("   330420")</f>
        <v xml:space="preserve">   330420</v>
      </c>
      <c r="B10147" t="str">
        <f>T("   Produits de maquillage pour les yeux")</f>
        <v xml:space="preserve">   Produits de maquillage pour les yeux</v>
      </c>
      <c r="C10147">
        <v>190426</v>
      </c>
      <c r="D10147">
        <v>48</v>
      </c>
    </row>
    <row r="10148" spans="1:4" x14ac:dyDescent="0.25">
      <c r="A10148" t="str">
        <f>T("   330499")</f>
        <v xml:space="preserve">   330499</v>
      </c>
      <c r="B10148" t="s">
        <v>97</v>
      </c>
      <c r="C10148">
        <v>89457833</v>
      </c>
      <c r="D10148">
        <v>32379</v>
      </c>
    </row>
    <row r="10149" spans="1:4" x14ac:dyDescent="0.25">
      <c r="A10149" t="str">
        <f>T("   330590")</f>
        <v xml:space="preserve">   330590</v>
      </c>
      <c r="B10149"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0149">
        <v>4385499</v>
      </c>
      <c r="D10149">
        <v>9117</v>
      </c>
    </row>
    <row r="10150" spans="1:4" x14ac:dyDescent="0.25">
      <c r="A10150" t="str">
        <f>T("   330610")</f>
        <v xml:space="preserve">   330610</v>
      </c>
      <c r="B10150" t="str">
        <f>T("   Dentifrices, préparés, même des types utilisés par les dentistes")</f>
        <v xml:space="preserve">   Dentifrices, préparés, même des types utilisés par les dentistes</v>
      </c>
      <c r="C10150">
        <v>25716478</v>
      </c>
      <c r="D10150">
        <v>5846</v>
      </c>
    </row>
    <row r="10151" spans="1:4" x14ac:dyDescent="0.25">
      <c r="A10151" t="str">
        <f>T("   330720")</f>
        <v xml:space="preserve">   330720</v>
      </c>
      <c r="B10151" t="str">
        <f>T("   Désodorisants corporels et antisudoraux, préparés")</f>
        <v xml:space="preserve">   Désodorisants corporels et antisudoraux, préparés</v>
      </c>
      <c r="C10151">
        <v>4262060</v>
      </c>
      <c r="D10151">
        <v>973</v>
      </c>
    </row>
    <row r="10152" spans="1:4" x14ac:dyDescent="0.25">
      <c r="A10152" t="str">
        <f>T("   330730")</f>
        <v xml:space="preserve">   330730</v>
      </c>
      <c r="B10152" t="str">
        <f>T("   Sels parfumés et autres préparations pour bains")</f>
        <v xml:space="preserve">   Sels parfumés et autres préparations pour bains</v>
      </c>
      <c r="C10152">
        <v>3515487</v>
      </c>
      <c r="D10152">
        <v>506</v>
      </c>
    </row>
    <row r="10153" spans="1:4" x14ac:dyDescent="0.25">
      <c r="A10153" t="str">
        <f>T("   340111")</f>
        <v xml:space="preserve">   340111</v>
      </c>
      <c r="B10153" t="s">
        <v>98</v>
      </c>
      <c r="C10153">
        <v>24503720</v>
      </c>
      <c r="D10153">
        <v>4754</v>
      </c>
    </row>
    <row r="10154" spans="1:4" x14ac:dyDescent="0.25">
      <c r="A10154" t="str">
        <f>T("   340119")</f>
        <v xml:space="preserve">   340119</v>
      </c>
      <c r="B10154" t="s">
        <v>99</v>
      </c>
      <c r="C10154">
        <v>7670</v>
      </c>
      <c r="D10154">
        <v>2000</v>
      </c>
    </row>
    <row r="10155" spans="1:4" x14ac:dyDescent="0.25">
      <c r="A10155" t="str">
        <f>T("   340120")</f>
        <v xml:space="preserve">   340120</v>
      </c>
      <c r="B10155" t="str">
        <f>T("   Savons en flocons, en paillettes, en granulés ou en poudres et savons liquides ou pâteux")</f>
        <v xml:space="preserve">   Savons en flocons, en paillettes, en granulés ou en poudres et savons liquides ou pâteux</v>
      </c>
      <c r="C10155">
        <v>4715815</v>
      </c>
      <c r="D10155">
        <v>2252</v>
      </c>
    </row>
    <row r="10156" spans="1:4" x14ac:dyDescent="0.25">
      <c r="A10156" t="str">
        <f>T("   340220")</f>
        <v xml:space="preserve">   340220</v>
      </c>
      <c r="B10156" t="s">
        <v>100</v>
      </c>
      <c r="C10156">
        <v>5132117</v>
      </c>
      <c r="D10156">
        <v>22987</v>
      </c>
    </row>
    <row r="10157" spans="1:4" x14ac:dyDescent="0.25">
      <c r="A10157" t="str">
        <f>T("   381121")</f>
        <v xml:space="preserve">   381121</v>
      </c>
      <c r="B10157" t="str">
        <f>T("   Additifs préparés pour huiles lubrifiantes, contenant des huiles de pétrole ou de minéraux bitumineux")</f>
        <v xml:space="preserve">   Additifs préparés pour huiles lubrifiantes, contenant des huiles de pétrole ou de minéraux bitumineux</v>
      </c>
      <c r="C10157">
        <v>649040</v>
      </c>
      <c r="D10157">
        <v>70</v>
      </c>
    </row>
    <row r="10158" spans="1:4" x14ac:dyDescent="0.25">
      <c r="A10158" t="str">
        <f>T("   382200")</f>
        <v xml:space="preserve">   382200</v>
      </c>
      <c r="B10158" t="s">
        <v>122</v>
      </c>
      <c r="C10158">
        <v>694535</v>
      </c>
      <c r="D10158">
        <v>67.180000000000007</v>
      </c>
    </row>
    <row r="10159" spans="1:4" x14ac:dyDescent="0.25">
      <c r="A10159" t="str">
        <f>T("   390110")</f>
        <v xml:space="preserve">   390110</v>
      </c>
      <c r="B10159" t="str">
        <f>T("   Polyéthylène d'une densité &lt; 0,94, sous formes primaires")</f>
        <v xml:space="preserve">   Polyéthylène d'une densité &lt; 0,94, sous formes primaires</v>
      </c>
      <c r="C10159">
        <v>52687956</v>
      </c>
      <c r="D10159">
        <v>66664</v>
      </c>
    </row>
    <row r="10160" spans="1:4" x14ac:dyDescent="0.25">
      <c r="A10160" t="str">
        <f>T("   390410")</f>
        <v xml:space="preserve">   390410</v>
      </c>
      <c r="B10160" t="str">
        <f>T("   Poly[chlorure de vinyle], sous formes primaires, non mélangé à d'autres substances")</f>
        <v xml:space="preserve">   Poly[chlorure de vinyle], sous formes primaires, non mélangé à d'autres substances</v>
      </c>
      <c r="C10160">
        <v>515827406</v>
      </c>
      <c r="D10160">
        <v>873000</v>
      </c>
    </row>
    <row r="10161" spans="1:4" x14ac:dyDescent="0.25">
      <c r="A10161" t="str">
        <f>T("   390521")</f>
        <v xml:space="preserve">   390521</v>
      </c>
      <c r="B10161" t="str">
        <f>T("   Copolymères d'acétate de vinyle, en dispersion aqueuse")</f>
        <v xml:space="preserve">   Copolymères d'acétate de vinyle, en dispersion aqueuse</v>
      </c>
      <c r="C10161">
        <v>8933071</v>
      </c>
      <c r="D10161">
        <v>5009</v>
      </c>
    </row>
    <row r="10162" spans="1:4" x14ac:dyDescent="0.25">
      <c r="A10162" t="str">
        <f>T("   392290")</f>
        <v xml:space="preserve">   392290</v>
      </c>
      <c r="B10162"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10162">
        <v>15819</v>
      </c>
      <c r="D10162">
        <v>2675</v>
      </c>
    </row>
    <row r="10163" spans="1:4" x14ac:dyDescent="0.25">
      <c r="A10163" t="str">
        <f>T("   392490")</f>
        <v xml:space="preserve">   392490</v>
      </c>
      <c r="B10163" t="s">
        <v>143</v>
      </c>
      <c r="C10163">
        <v>59918</v>
      </c>
      <c r="D10163">
        <v>50</v>
      </c>
    </row>
    <row r="10164" spans="1:4" x14ac:dyDescent="0.25">
      <c r="A10164" t="str">
        <f>T("   401039")</f>
        <v xml:space="preserve">   401039</v>
      </c>
      <c r="B10164" t="s">
        <v>151</v>
      </c>
      <c r="C10164">
        <v>2988392</v>
      </c>
      <c r="D10164">
        <v>210</v>
      </c>
    </row>
    <row r="10165" spans="1:4" x14ac:dyDescent="0.25">
      <c r="A10165" t="str">
        <f>T("   401110")</f>
        <v xml:space="preserve">   401110</v>
      </c>
      <c r="B10165"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165">
        <v>19551613</v>
      </c>
      <c r="D10165">
        <v>14541</v>
      </c>
    </row>
    <row r="10166" spans="1:4" x14ac:dyDescent="0.25">
      <c r="A10166" t="str">
        <f>T("   401120")</f>
        <v xml:space="preserve">   401120</v>
      </c>
      <c r="B10166"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0166">
        <v>552000</v>
      </c>
      <c r="D10166">
        <v>800</v>
      </c>
    </row>
    <row r="10167" spans="1:4" x14ac:dyDescent="0.25">
      <c r="A10167" t="str">
        <f>T("   401211")</f>
        <v xml:space="preserve">   401211</v>
      </c>
      <c r="B10167"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10167">
        <v>28309000</v>
      </c>
      <c r="D10167">
        <v>40850</v>
      </c>
    </row>
    <row r="10168" spans="1:4" x14ac:dyDescent="0.25">
      <c r="A10168" t="str">
        <f>T("   401212")</f>
        <v xml:space="preserve">   401212</v>
      </c>
      <c r="B10168" t="str">
        <f>T("   Pneumatiques rechapés, en caoutchouc, des types utilisés pour les autobus ou camions")</f>
        <v xml:space="preserve">   Pneumatiques rechapés, en caoutchouc, des types utilisés pour les autobus ou camions</v>
      </c>
      <c r="C10168">
        <v>4300000</v>
      </c>
      <c r="D10168">
        <v>4300</v>
      </c>
    </row>
    <row r="10169" spans="1:4" x14ac:dyDescent="0.25">
      <c r="A10169" t="str">
        <f>T("   401219")</f>
        <v xml:space="preserve">   401219</v>
      </c>
      <c r="B10169"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10169">
        <v>5910000</v>
      </c>
      <c r="D10169">
        <v>6450</v>
      </c>
    </row>
    <row r="10170" spans="1:4" x14ac:dyDescent="0.25">
      <c r="A10170" t="str">
        <f>T("   401220")</f>
        <v xml:space="preserve">   401220</v>
      </c>
      <c r="B10170" t="str">
        <f>T("   Pneumatiques usagés, en caoutchouc")</f>
        <v xml:space="preserve">   Pneumatiques usagés, en caoutchouc</v>
      </c>
      <c r="C10170">
        <v>127471553</v>
      </c>
      <c r="D10170">
        <v>350336</v>
      </c>
    </row>
    <row r="10171" spans="1:4" x14ac:dyDescent="0.25">
      <c r="A10171" t="str">
        <f>T("   401290")</f>
        <v xml:space="preserve">   401290</v>
      </c>
      <c r="B10171" t="str">
        <f>T("   Bandages pleins ou creux [mi-pleins], bandes de roulement amovibles pour pneumatiques et flaps, en caoutchouc")</f>
        <v xml:space="preserve">   Bandages pleins ou creux [mi-pleins], bandes de roulement amovibles pour pneumatiques et flaps, en caoutchouc</v>
      </c>
      <c r="C10171">
        <v>38827</v>
      </c>
      <c r="D10171">
        <v>100</v>
      </c>
    </row>
    <row r="10172" spans="1:4" x14ac:dyDescent="0.25">
      <c r="A10172" t="str">
        <f>T("   401310")</f>
        <v xml:space="preserve">   401310</v>
      </c>
      <c r="B10172"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10172">
        <v>480537</v>
      </c>
      <c r="D10172">
        <v>1193</v>
      </c>
    </row>
    <row r="10173" spans="1:4" x14ac:dyDescent="0.25">
      <c r="A10173" t="str">
        <f>T("   401693")</f>
        <v xml:space="preserve">   401693</v>
      </c>
      <c r="B10173" t="str">
        <f>T("   Joints en caoutchouc vulcanisé non durci (à l'excl. des articles en caoutchouc alvéolaire)")</f>
        <v xml:space="preserve">   Joints en caoutchouc vulcanisé non durci (à l'excl. des articles en caoutchouc alvéolaire)</v>
      </c>
      <c r="C10173">
        <v>225266</v>
      </c>
      <c r="D10173">
        <v>11</v>
      </c>
    </row>
    <row r="10174" spans="1:4" x14ac:dyDescent="0.25">
      <c r="A10174" t="str">
        <f>T("   401699")</f>
        <v xml:space="preserve">   401699</v>
      </c>
      <c r="B10174" t="str">
        <f>T("   OUVRAGES EN CAOUTCHOUC VULCANISÉ NON-DURCI, N.D.A.")</f>
        <v xml:space="preserve">   OUVRAGES EN CAOUTCHOUC VULCANISÉ NON-DURCI, N.D.A.</v>
      </c>
      <c r="C10174">
        <v>221460</v>
      </c>
      <c r="D10174">
        <v>8</v>
      </c>
    </row>
    <row r="10175" spans="1:4" x14ac:dyDescent="0.25">
      <c r="A10175" t="str">
        <f>T("   420219")</f>
        <v xml:space="preserve">   420219</v>
      </c>
      <c r="B10175" t="s">
        <v>157</v>
      </c>
      <c r="C10175">
        <v>1231180</v>
      </c>
      <c r="D10175">
        <v>2193</v>
      </c>
    </row>
    <row r="10176" spans="1:4" x14ac:dyDescent="0.25">
      <c r="A10176" t="str">
        <f>T("   420222")</f>
        <v xml:space="preserve">   420222</v>
      </c>
      <c r="B10176"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10176">
        <v>402822</v>
      </c>
      <c r="D10176">
        <v>2147</v>
      </c>
    </row>
    <row r="10177" spans="1:4" x14ac:dyDescent="0.25">
      <c r="A10177" t="str">
        <f>T("   420229")</f>
        <v xml:space="preserve">   420229</v>
      </c>
      <c r="B10177"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0177">
        <v>1341072</v>
      </c>
      <c r="D10177">
        <v>2610</v>
      </c>
    </row>
    <row r="10178" spans="1:4" x14ac:dyDescent="0.25">
      <c r="A10178" t="str">
        <f>T("   441400")</f>
        <v xml:space="preserve">   441400</v>
      </c>
      <c r="B10178" t="str">
        <f>T("   Cadres en bois pour tableaux, photographies, miroirs ou objets simil.")</f>
        <v xml:space="preserve">   Cadres en bois pour tableaux, photographies, miroirs ou objets simil.</v>
      </c>
      <c r="C10178">
        <v>1199334</v>
      </c>
      <c r="D10178">
        <v>70</v>
      </c>
    </row>
    <row r="10179" spans="1:4" x14ac:dyDescent="0.25">
      <c r="A10179" t="str">
        <f>T("   480519")</f>
        <v xml:space="preserve">   480519</v>
      </c>
      <c r="B10179" t="s">
        <v>197</v>
      </c>
      <c r="C10179">
        <v>38476466</v>
      </c>
      <c r="D10179">
        <v>118828</v>
      </c>
    </row>
    <row r="10180" spans="1:4" x14ac:dyDescent="0.25">
      <c r="A10180" t="str">
        <f>T("   480525")</f>
        <v xml:space="preserve">   480525</v>
      </c>
      <c r="B10180" t="str">
        <f>T("   Testliner [fibres récupérées], non couchés ni enduits, en rouleaux d'une largeur &gt; 36 cm ou en feuilles de forme carrée ou rectangulaire dont au moins un coté &gt; 36 cm et l'autre &gt; 15 cm à l'état non plié,  d'un poids &gt; 150 g/m²")</f>
        <v xml:space="preserve">   Testliner [fibres récupérées], non couchés ni enduits, en rouleaux d'une largeur &gt; 36 cm ou en feuilles de forme carrée ou rectangulaire dont au moins un coté &gt; 36 cm et l'autre &gt; 15 cm à l'état non plié,  d'un poids &gt; 150 g/m²</v>
      </c>
      <c r="C10180">
        <v>22004562</v>
      </c>
      <c r="D10180">
        <v>67381</v>
      </c>
    </row>
    <row r="10181" spans="1:4" x14ac:dyDescent="0.25">
      <c r="A10181" t="str">
        <f>T("   481830")</f>
        <v xml:space="preserve">   481830</v>
      </c>
      <c r="B10181" t="str">
        <f>T("   Nappes et serviettes de table, en pâte à papier, papier, ouate de cellulose ou nappes de fibres de cellulose")</f>
        <v xml:space="preserve">   Nappes et serviettes de table, en pâte à papier, papier, ouate de cellulose ou nappes de fibres de cellulose</v>
      </c>
      <c r="C10181">
        <v>302949</v>
      </c>
      <c r="D10181">
        <v>500</v>
      </c>
    </row>
    <row r="10182" spans="1:4" x14ac:dyDescent="0.25">
      <c r="A10182" t="str">
        <f>T("   481840")</f>
        <v xml:space="preserve">   481840</v>
      </c>
      <c r="B10182"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0182">
        <v>60398</v>
      </c>
      <c r="D10182">
        <v>1503</v>
      </c>
    </row>
    <row r="10183" spans="1:4" x14ac:dyDescent="0.25">
      <c r="A10183" t="str">
        <f>T("   481910")</f>
        <v xml:space="preserve">   481910</v>
      </c>
      <c r="B10183" t="str">
        <f>T("   Boîtes et caisses en papier ou en carton ondulé")</f>
        <v xml:space="preserve">   Boîtes et caisses en papier ou en carton ondulé</v>
      </c>
      <c r="C10183">
        <v>563109</v>
      </c>
      <c r="D10183">
        <v>130</v>
      </c>
    </row>
    <row r="10184" spans="1:4" x14ac:dyDescent="0.25">
      <c r="A10184" t="str">
        <f>T("   481950")</f>
        <v xml:space="preserve">   481950</v>
      </c>
      <c r="B10184" t="s">
        <v>214</v>
      </c>
      <c r="C10184">
        <v>500441</v>
      </c>
      <c r="D10184">
        <v>500</v>
      </c>
    </row>
    <row r="10185" spans="1:4" x14ac:dyDescent="0.25">
      <c r="A10185" t="str">
        <f>T("   482010")</f>
        <v xml:space="preserve">   482010</v>
      </c>
      <c r="B10185"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0185">
        <v>624114</v>
      </c>
      <c r="D10185">
        <v>20</v>
      </c>
    </row>
    <row r="10186" spans="1:4" x14ac:dyDescent="0.25">
      <c r="A10186" t="str">
        <f>T("   490199")</f>
        <v xml:space="preserve">   490199</v>
      </c>
      <c r="B1018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186">
        <v>12811472</v>
      </c>
      <c r="D10186">
        <v>5819</v>
      </c>
    </row>
    <row r="10187" spans="1:4" x14ac:dyDescent="0.25">
      <c r="A10187" t="str">
        <f>T("   560129")</f>
        <v xml:space="preserve">   560129</v>
      </c>
      <c r="B10187" t="s">
        <v>237</v>
      </c>
      <c r="C10187">
        <v>71902</v>
      </c>
      <c r="D10187">
        <v>10</v>
      </c>
    </row>
    <row r="10188" spans="1:4" x14ac:dyDescent="0.25">
      <c r="A10188" t="str">
        <f>T("   570500")</f>
        <v xml:space="preserve">   570500</v>
      </c>
      <c r="B10188"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10188">
        <v>141031</v>
      </c>
      <c r="D10188">
        <v>980</v>
      </c>
    </row>
    <row r="10189" spans="1:4" x14ac:dyDescent="0.25">
      <c r="A10189" t="str">
        <f>T("   590900")</f>
        <v xml:space="preserve">   590900</v>
      </c>
      <c r="B10189" t="str">
        <f>T("   Tuyaux pour pompes et tuyaux simil., en matières textiles, même imprégnés ou enduits, même avec armatures ou accessoires en autres matières")</f>
        <v xml:space="preserve">   Tuyaux pour pompes et tuyaux simil., en matières textiles, même imprégnés ou enduits, même avec armatures ou accessoires en autres matières</v>
      </c>
      <c r="C10189">
        <v>2142335</v>
      </c>
      <c r="D10189">
        <v>107</v>
      </c>
    </row>
    <row r="10190" spans="1:4" x14ac:dyDescent="0.25">
      <c r="A10190" t="str">
        <f>T("   610690")</f>
        <v xml:space="preserve">   610690</v>
      </c>
      <c r="B10190"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10190">
        <v>4106154</v>
      </c>
      <c r="D10190">
        <v>1074</v>
      </c>
    </row>
    <row r="10191" spans="1:4" x14ac:dyDescent="0.25">
      <c r="A10191" t="str">
        <f>T("   611490")</f>
        <v xml:space="preserve">   611490</v>
      </c>
      <c r="B10191"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10191">
        <v>538962</v>
      </c>
      <c r="D10191">
        <v>6537</v>
      </c>
    </row>
    <row r="10192" spans="1:4" x14ac:dyDescent="0.25">
      <c r="A10192" t="str">
        <f>T("   620349")</f>
        <v xml:space="preserve">   620349</v>
      </c>
      <c r="B10192" t="s">
        <v>261</v>
      </c>
      <c r="C10192">
        <v>215708</v>
      </c>
      <c r="D10192">
        <v>2621</v>
      </c>
    </row>
    <row r="10193" spans="1:4" x14ac:dyDescent="0.25">
      <c r="A10193" t="str">
        <f>T("   620469")</f>
        <v xml:space="preserve">   620469</v>
      </c>
      <c r="B10193" t="s">
        <v>262</v>
      </c>
      <c r="C10193">
        <v>1838878</v>
      </c>
      <c r="D10193">
        <v>3155</v>
      </c>
    </row>
    <row r="10194" spans="1:4" x14ac:dyDescent="0.25">
      <c r="A10194" t="str">
        <f>T("   620590")</f>
        <v xml:space="preserve">   620590</v>
      </c>
      <c r="B1019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194">
        <v>10510407</v>
      </c>
      <c r="D10194">
        <v>63709</v>
      </c>
    </row>
    <row r="10195" spans="1:4" x14ac:dyDescent="0.25">
      <c r="A10195" t="str">
        <f>T("   621040")</f>
        <v xml:space="preserve">   621040</v>
      </c>
      <c r="B10195" t="s">
        <v>265</v>
      </c>
      <c r="C10195">
        <v>3032801</v>
      </c>
      <c r="D10195">
        <v>7311</v>
      </c>
    </row>
    <row r="10196" spans="1:4" x14ac:dyDescent="0.25">
      <c r="A10196" t="str">
        <f>T("   630231")</f>
        <v xml:space="preserve">   630231</v>
      </c>
      <c r="B10196" t="str">
        <f>T("   Linge de lit de coton (autre qu'imprimé, autre qu'en bonneterie)")</f>
        <v xml:space="preserve">   Linge de lit de coton (autre qu'imprimé, autre qu'en bonneterie)</v>
      </c>
      <c r="C10196">
        <v>9677597</v>
      </c>
      <c r="D10196">
        <v>12000</v>
      </c>
    </row>
    <row r="10197" spans="1:4" x14ac:dyDescent="0.25">
      <c r="A10197" t="str">
        <f>T("   630491")</f>
        <v xml:space="preserve">   630491</v>
      </c>
      <c r="B10197" t="s">
        <v>269</v>
      </c>
      <c r="C10197">
        <v>1174167825</v>
      </c>
      <c r="D10197">
        <v>331000</v>
      </c>
    </row>
    <row r="10198" spans="1:4" x14ac:dyDescent="0.25">
      <c r="A10198" t="str">
        <f>T("   630510")</f>
        <v xml:space="preserve">   630510</v>
      </c>
      <c r="B10198" t="str">
        <f>T("   Sacs et sachets d'emballage de jute ou d'autres fibres textiles libériennes du n° 5303")</f>
        <v xml:space="preserve">   Sacs et sachets d'emballage de jute ou d'autres fibres textiles libériennes du n° 5303</v>
      </c>
      <c r="C10198">
        <v>1917708</v>
      </c>
      <c r="D10198">
        <v>24643</v>
      </c>
    </row>
    <row r="10199" spans="1:4" x14ac:dyDescent="0.25">
      <c r="A10199" t="str">
        <f>T("   630622")</f>
        <v xml:space="preserve">   630622</v>
      </c>
      <c r="B10199" t="str">
        <f>T("   Tentes de fibres synthétiques (sauf paravents)")</f>
        <v xml:space="preserve">   Tentes de fibres synthétiques (sauf paravents)</v>
      </c>
      <c r="C10199">
        <v>95871</v>
      </c>
      <c r="D10199">
        <v>1167</v>
      </c>
    </row>
    <row r="10200" spans="1:4" x14ac:dyDescent="0.25">
      <c r="A10200" t="str">
        <f>T("   630900")</f>
        <v xml:space="preserve">   630900</v>
      </c>
      <c r="B10200" t="s">
        <v>273</v>
      </c>
      <c r="C10200">
        <v>844343473</v>
      </c>
      <c r="D10200">
        <v>1489523</v>
      </c>
    </row>
    <row r="10201" spans="1:4" x14ac:dyDescent="0.25">
      <c r="A10201" t="str">
        <f>T("   640590")</f>
        <v xml:space="preserve">   640590</v>
      </c>
      <c r="B10201" t="s">
        <v>283</v>
      </c>
      <c r="C10201">
        <v>7953914</v>
      </c>
      <c r="D10201">
        <v>11536</v>
      </c>
    </row>
    <row r="10202" spans="1:4" x14ac:dyDescent="0.25">
      <c r="A10202" t="str">
        <f>T("   660199")</f>
        <v xml:space="preserve">   660199</v>
      </c>
      <c r="B10202"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10202">
        <v>58960</v>
      </c>
      <c r="D10202">
        <v>20</v>
      </c>
    </row>
    <row r="10203" spans="1:4" x14ac:dyDescent="0.25">
      <c r="A10203" t="str">
        <f>T("   670419")</f>
        <v xml:space="preserve">   670419</v>
      </c>
      <c r="B10203" t="str">
        <f>T("   Barbes, sourcils, cils, mèches et articles simil., en matières textiles synthétiques (sauf perruques complètes)")</f>
        <v xml:space="preserve">   Barbes, sourcils, cils, mèches et articles simil., en matières textiles synthétiques (sauf perruques complètes)</v>
      </c>
      <c r="C10203">
        <v>449631</v>
      </c>
      <c r="D10203">
        <v>1450</v>
      </c>
    </row>
    <row r="10204" spans="1:4" x14ac:dyDescent="0.25">
      <c r="A10204" t="str">
        <f>T("   690890")</f>
        <v xml:space="preserve">   690890</v>
      </c>
      <c r="B10204" t="s">
        <v>307</v>
      </c>
      <c r="C10204">
        <v>75000</v>
      </c>
      <c r="D10204">
        <v>4708</v>
      </c>
    </row>
    <row r="10205" spans="1:4" x14ac:dyDescent="0.25">
      <c r="A10205" t="str">
        <f>T("   691200")</f>
        <v xml:space="preserve">   691200</v>
      </c>
      <c r="B10205" t="s">
        <v>313</v>
      </c>
      <c r="C10205">
        <v>63082</v>
      </c>
      <c r="D10205">
        <v>6</v>
      </c>
    </row>
    <row r="10206" spans="1:4" x14ac:dyDescent="0.25">
      <c r="A10206" t="str">
        <f>T("   701339")</f>
        <v xml:space="preserve">   701339</v>
      </c>
      <c r="B10206" t="s">
        <v>324</v>
      </c>
      <c r="C10206">
        <v>220403</v>
      </c>
      <c r="D10206">
        <v>31</v>
      </c>
    </row>
    <row r="10207" spans="1:4" x14ac:dyDescent="0.25">
      <c r="A10207" t="str">
        <f>T("   711790")</f>
        <v xml:space="preserve">   711790</v>
      </c>
      <c r="B10207" t="str">
        <f>T("   Bijouterie de fantaisie (autre qu'en métaux communs, même argentés, dorés ou platinés)")</f>
        <v xml:space="preserve">   Bijouterie de fantaisie (autre qu'en métaux communs, même argentés, dorés ou platinés)</v>
      </c>
      <c r="C10207">
        <v>394925</v>
      </c>
      <c r="D10207">
        <v>213</v>
      </c>
    </row>
    <row r="10208" spans="1:4" x14ac:dyDescent="0.25">
      <c r="A10208" t="str">
        <f>T("   721399")</f>
        <v xml:space="preserve">   721399</v>
      </c>
      <c r="B10208" t="s">
        <v>338</v>
      </c>
      <c r="C10208">
        <v>1618641737</v>
      </c>
      <c r="D10208">
        <v>3974295</v>
      </c>
    </row>
    <row r="10209" spans="1:4" x14ac:dyDescent="0.25">
      <c r="A10209" t="str">
        <f>T("   721720")</f>
        <v xml:space="preserve">   721720</v>
      </c>
      <c r="B10209" t="str">
        <f>T("   FILS EN FER OU EN ACIERS NON-ALLIÉS, ENROULÉS, ZINGUÉS (À L'EXCL. DU FIL MACHINE)")</f>
        <v xml:space="preserve">   FILS EN FER OU EN ACIERS NON-ALLIÉS, ENROULÉS, ZINGUÉS (À L'EXCL. DU FIL MACHINE)</v>
      </c>
      <c r="C10209">
        <v>1618641737</v>
      </c>
      <c r="D10209">
        <v>3974295</v>
      </c>
    </row>
    <row r="10210" spans="1:4" x14ac:dyDescent="0.25">
      <c r="A10210" t="str">
        <f>T("   730410")</f>
        <v xml:space="preserve">   730410</v>
      </c>
      <c r="B10210" t="str">
        <f>T("   Tubes et tuyaux sans soudure, en fer (à l'excl. de la fonte) ou en acier, des types utilisés pour oléoducs ou gazoducs")</f>
        <v xml:space="preserve">   Tubes et tuyaux sans soudure, en fer (à l'excl. de la fonte) ou en acier, des types utilisés pour oléoducs ou gazoducs</v>
      </c>
      <c r="C10210">
        <v>156918025</v>
      </c>
      <c r="D10210">
        <v>7235</v>
      </c>
    </row>
    <row r="10211" spans="1:4" x14ac:dyDescent="0.25">
      <c r="A10211" t="str">
        <f>T("   730690")</f>
        <v xml:space="preserve">   730690</v>
      </c>
      <c r="B10211"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10211">
        <v>10089346</v>
      </c>
      <c r="D10211">
        <v>691</v>
      </c>
    </row>
    <row r="10212" spans="1:4" x14ac:dyDescent="0.25">
      <c r="A10212" t="str">
        <f>T("   730791")</f>
        <v xml:space="preserve">   730791</v>
      </c>
      <c r="B10212" t="str">
        <f>T("   Brides en fer ou aciers (autres que moulés ou en acier inoxydable)")</f>
        <v xml:space="preserve">   Brides en fer ou aciers (autres que moulés ou en acier inoxydable)</v>
      </c>
      <c r="C10212">
        <v>72381</v>
      </c>
      <c r="D10212">
        <v>5</v>
      </c>
    </row>
    <row r="10213" spans="1:4" x14ac:dyDescent="0.25">
      <c r="A10213" t="str">
        <f>T("   730792")</f>
        <v xml:space="preserve">   730792</v>
      </c>
      <c r="B10213" t="str">
        <f>T("   Coudes, courbes et manchons en fer ou en aciers, filetés (autres que moulés ou en aciers inoxydables)")</f>
        <v xml:space="preserve">   Coudes, courbes et manchons en fer ou en aciers, filetés (autres que moulés ou en aciers inoxydables)</v>
      </c>
      <c r="C10213">
        <v>118879</v>
      </c>
      <c r="D10213">
        <v>8</v>
      </c>
    </row>
    <row r="10214" spans="1:4" x14ac:dyDescent="0.25">
      <c r="A10214" t="str">
        <f>T("   730900")</f>
        <v xml:space="preserve">   730900</v>
      </c>
      <c r="B10214" t="s">
        <v>350</v>
      </c>
      <c r="C10214">
        <v>5877790</v>
      </c>
      <c r="D10214">
        <v>25855</v>
      </c>
    </row>
    <row r="10215" spans="1:4" x14ac:dyDescent="0.25">
      <c r="A10215" t="str">
        <f>T("   731420")</f>
        <v xml:space="preserve">   731420</v>
      </c>
      <c r="B10215" t="str">
        <f>T("   Grillages et treillis, soudés aux points de rencontre, d'une surface de mailles &gt;= 100 cm², en fils de fer ou d'acier, dont la plus grande dimension de la coupe transversale est &gt;= 3 mm")</f>
        <v xml:space="preserve">   Grillages et treillis, soudés aux points de rencontre, d'une surface de mailles &gt;= 100 cm², en fils de fer ou d'acier, dont la plus grande dimension de la coupe transversale est &gt;= 3 mm</v>
      </c>
      <c r="C10215">
        <v>1364833</v>
      </c>
      <c r="D10215">
        <v>190</v>
      </c>
    </row>
    <row r="10216" spans="1:4" x14ac:dyDescent="0.25">
      <c r="A10216" t="str">
        <f>T("   732111")</f>
        <v xml:space="preserve">   732111</v>
      </c>
      <c r="B10216" t="s">
        <v>356</v>
      </c>
      <c r="C10216">
        <v>146202</v>
      </c>
      <c r="D10216">
        <v>32</v>
      </c>
    </row>
    <row r="10217" spans="1:4" x14ac:dyDescent="0.25">
      <c r="A10217" t="str">
        <f>T("   732394")</f>
        <v xml:space="preserve">   732394</v>
      </c>
      <c r="B10217" t="s">
        <v>362</v>
      </c>
      <c r="C10217">
        <v>3751821</v>
      </c>
      <c r="D10217">
        <v>4972</v>
      </c>
    </row>
    <row r="10218" spans="1:4" x14ac:dyDescent="0.25">
      <c r="A10218" t="str">
        <f>T("   732399")</f>
        <v xml:space="preserve">   732399</v>
      </c>
      <c r="B10218" t="s">
        <v>363</v>
      </c>
      <c r="C10218">
        <v>19110314</v>
      </c>
      <c r="D10218">
        <v>61313</v>
      </c>
    </row>
    <row r="10219" spans="1:4" x14ac:dyDescent="0.25">
      <c r="A10219" t="str">
        <f>T("   761519")</f>
        <v xml:space="preserve">   761519</v>
      </c>
      <c r="B10219" t="s">
        <v>373</v>
      </c>
      <c r="C10219">
        <v>239675</v>
      </c>
      <c r="D10219">
        <v>227</v>
      </c>
    </row>
    <row r="10220" spans="1:4" x14ac:dyDescent="0.25">
      <c r="A10220" t="str">
        <f>T("   820210")</f>
        <v xml:space="preserve">   820210</v>
      </c>
      <c r="B10220" t="str">
        <f>T("   Scies à main, avec partie travaillante en métaux communs (à l'excl. des tronçonneuses)")</f>
        <v xml:space="preserve">   Scies à main, avec partie travaillante en métaux communs (à l'excl. des tronçonneuses)</v>
      </c>
      <c r="C10220">
        <v>4242247</v>
      </c>
      <c r="D10220">
        <v>305</v>
      </c>
    </row>
    <row r="10221" spans="1:4" x14ac:dyDescent="0.25">
      <c r="A10221" t="str">
        <f>T("   820560")</f>
        <v xml:space="preserve">   820560</v>
      </c>
      <c r="B10221" t="str">
        <f>T("   Lampes à souder et simil. (sauf appareils à souder fonctionnant au gaz)")</f>
        <v xml:space="preserve">   Lampes à souder et simil. (sauf appareils à souder fonctionnant au gaz)</v>
      </c>
      <c r="C10221">
        <v>678140</v>
      </c>
      <c r="D10221">
        <v>11</v>
      </c>
    </row>
    <row r="10222" spans="1:4" x14ac:dyDescent="0.25">
      <c r="A10222" t="str">
        <f>T("   820840")</f>
        <v xml:space="preserve">   820840</v>
      </c>
      <c r="B10222" t="str">
        <f>T("   Couteaux et lames tranchantes, en métaux communs, pour machines agricoles, horticoles ou forestières (sauf pour le travail du bois)")</f>
        <v xml:space="preserve">   Couteaux et lames tranchantes, en métaux communs, pour machines agricoles, horticoles ou forestières (sauf pour le travail du bois)</v>
      </c>
      <c r="C10222">
        <v>214749</v>
      </c>
      <c r="D10222">
        <v>7</v>
      </c>
    </row>
    <row r="10223" spans="1:4" x14ac:dyDescent="0.25">
      <c r="A10223" t="str">
        <f>T("   821599")</f>
        <v xml:space="preserve">   821599</v>
      </c>
      <c r="B10223" t="s">
        <v>380</v>
      </c>
      <c r="C10223">
        <v>65192</v>
      </c>
      <c r="D10223">
        <v>1000</v>
      </c>
    </row>
    <row r="10224" spans="1:4" x14ac:dyDescent="0.25">
      <c r="A10224" t="str">
        <f>T("   840790")</f>
        <v xml:space="preserve">   840790</v>
      </c>
      <c r="B10224" t="s">
        <v>391</v>
      </c>
      <c r="C10224">
        <v>1044482</v>
      </c>
      <c r="D10224">
        <v>1114.8</v>
      </c>
    </row>
    <row r="10225" spans="1:4" x14ac:dyDescent="0.25">
      <c r="A10225" t="str">
        <f>T("   840999")</f>
        <v xml:space="preserve">   840999</v>
      </c>
      <c r="B10225"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10225">
        <v>475709</v>
      </c>
      <c r="D10225">
        <v>30</v>
      </c>
    </row>
    <row r="10226" spans="1:4" x14ac:dyDescent="0.25">
      <c r="A10226" t="str">
        <f>T("   841370")</f>
        <v xml:space="preserve">   841370</v>
      </c>
      <c r="B10226" t="s">
        <v>397</v>
      </c>
      <c r="C10226">
        <v>634122</v>
      </c>
      <c r="D10226">
        <v>6</v>
      </c>
    </row>
    <row r="10227" spans="1:4" x14ac:dyDescent="0.25">
      <c r="A10227" t="str">
        <f>T("   841430")</f>
        <v xml:space="preserve">   841430</v>
      </c>
      <c r="B10227" t="str">
        <f>T("   Compresseurs des types utilisés pour équipements frigorifiques")</f>
        <v xml:space="preserve">   Compresseurs des types utilisés pour équipements frigorifiques</v>
      </c>
      <c r="C10227">
        <v>188046</v>
      </c>
      <c r="D10227">
        <v>560</v>
      </c>
    </row>
    <row r="10228" spans="1:4" x14ac:dyDescent="0.25">
      <c r="A10228" t="str">
        <f>T("   841490")</f>
        <v xml:space="preserve">   841490</v>
      </c>
      <c r="B10228"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10228">
        <v>235361</v>
      </c>
      <c r="D10228">
        <v>17</v>
      </c>
    </row>
    <row r="10229" spans="1:4" x14ac:dyDescent="0.25">
      <c r="A10229" t="str">
        <f>T("   841582")</f>
        <v xml:space="preserve">   841582</v>
      </c>
      <c r="B10229" t="s">
        <v>402</v>
      </c>
      <c r="C10229">
        <v>200129</v>
      </c>
      <c r="D10229">
        <v>260</v>
      </c>
    </row>
    <row r="10230" spans="1:4" x14ac:dyDescent="0.25">
      <c r="A10230" t="str">
        <f>T("   841610")</f>
        <v xml:space="preserve">   841610</v>
      </c>
      <c r="B10230" t="str">
        <f>T("   Brûleurs pour foyers à combustibles liquides")</f>
        <v xml:space="preserve">   Brûleurs pour foyers à combustibles liquides</v>
      </c>
      <c r="C10230">
        <v>37250164</v>
      </c>
      <c r="D10230">
        <v>2328</v>
      </c>
    </row>
    <row r="10231" spans="1:4" x14ac:dyDescent="0.25">
      <c r="A10231" t="str">
        <f>T("   841690")</f>
        <v xml:space="preserve">   841690</v>
      </c>
      <c r="B10231" t="str">
        <f>T("   PARTIES DE BR¹LEURS POUR L'ALIMENTATION DES FOYERS ET DES FOYERS AUTOMATIQUES, DE LEURS AVANT-FOYERS, GRILLES MÉCANIQUES, DISPOSITIFS MÉCANIQUES POUR L'ÉVACUATION DES CENDRES ET DISPOSITIFS SIMIL., N.D.A.")</f>
        <v xml:space="preserve">   PARTIES DE BR¹LEURS POUR L'ALIMENTATION DES FOYERS ET DES FOYERS AUTOMATIQUES, DE LEURS AVANT-FOYERS, GRILLES MÉCANIQUES, DISPOSITIFS MÉCANIQUES POUR L'ÉVACUATION DES CENDRES ET DISPOSITIFS SIMIL., N.D.A.</v>
      </c>
      <c r="C10231">
        <v>4963089</v>
      </c>
      <c r="D10231">
        <v>310</v>
      </c>
    </row>
    <row r="10232" spans="1:4" x14ac:dyDescent="0.25">
      <c r="A10232" t="str">
        <f>T("   841810")</f>
        <v xml:space="preserve">   841810</v>
      </c>
      <c r="B10232" t="str">
        <f>T("   Réfrigérateurs et congélateurs-conservateurs combinés, avec portes extérieures séparées")</f>
        <v xml:space="preserve">   Réfrigérateurs et congélateurs-conservateurs combinés, avec portes extérieures séparées</v>
      </c>
      <c r="C10232">
        <v>150000</v>
      </c>
      <c r="D10232">
        <v>584</v>
      </c>
    </row>
    <row r="10233" spans="1:4" x14ac:dyDescent="0.25">
      <c r="A10233" t="str">
        <f>T("   841821")</f>
        <v xml:space="preserve">   841821</v>
      </c>
      <c r="B10233" t="str">
        <f>T("   Réfrigérateurs ménagers à compression")</f>
        <v xml:space="preserve">   Réfrigérateurs ménagers à compression</v>
      </c>
      <c r="C10233">
        <v>4976000</v>
      </c>
      <c r="D10233">
        <v>55000</v>
      </c>
    </row>
    <row r="10234" spans="1:4" x14ac:dyDescent="0.25">
      <c r="A10234" t="str">
        <f>T("   841822")</f>
        <v xml:space="preserve">   841822</v>
      </c>
      <c r="B10234" t="str">
        <f>T("   Réfrigérateurs ménagers à absorption, électriques")</f>
        <v xml:space="preserve">   Réfrigérateurs ménagers à absorption, électriques</v>
      </c>
      <c r="C10234">
        <v>922749</v>
      </c>
      <c r="D10234">
        <v>3771</v>
      </c>
    </row>
    <row r="10235" spans="1:4" x14ac:dyDescent="0.25">
      <c r="A10235" t="str">
        <f>T("   841829")</f>
        <v xml:space="preserve">   841829</v>
      </c>
      <c r="B10235" t="str">
        <f>T("   Réfrigérateurs ménagers à absorption, non-électriques")</f>
        <v xml:space="preserve">   Réfrigérateurs ménagers à absorption, non-électriques</v>
      </c>
      <c r="C10235">
        <v>8972156</v>
      </c>
      <c r="D10235">
        <v>31992</v>
      </c>
    </row>
    <row r="10236" spans="1:4" x14ac:dyDescent="0.25">
      <c r="A10236" t="str">
        <f>T("   841850")</f>
        <v xml:space="preserve">   841850</v>
      </c>
      <c r="B10236" t="s">
        <v>404</v>
      </c>
      <c r="C10236">
        <v>1529846</v>
      </c>
      <c r="D10236">
        <v>261</v>
      </c>
    </row>
    <row r="10237" spans="1:4" x14ac:dyDescent="0.25">
      <c r="A10237" t="str">
        <f>T("   842123")</f>
        <v xml:space="preserve">   842123</v>
      </c>
      <c r="B10237"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10237">
        <v>63754</v>
      </c>
      <c r="D10237">
        <v>2</v>
      </c>
    </row>
    <row r="10238" spans="1:4" x14ac:dyDescent="0.25">
      <c r="A10238" t="str">
        <f>T("   842129")</f>
        <v xml:space="preserve">   842129</v>
      </c>
      <c r="B10238"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10238">
        <v>4017432</v>
      </c>
      <c r="D10238">
        <v>153</v>
      </c>
    </row>
    <row r="10239" spans="1:4" x14ac:dyDescent="0.25">
      <c r="A10239" t="str">
        <f>T("   842139")</f>
        <v xml:space="preserve">   842139</v>
      </c>
      <c r="B10239"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10239">
        <v>939526</v>
      </c>
      <c r="D10239">
        <v>60</v>
      </c>
    </row>
    <row r="10240" spans="1:4" x14ac:dyDescent="0.25">
      <c r="A10240" t="str">
        <f>T("   842199")</f>
        <v xml:space="preserve">   842199</v>
      </c>
      <c r="B10240" t="str">
        <f>T("   Parties d'appareils pour la filtration ou l'épuration des liquides ou des gaz, n.d.a.")</f>
        <v xml:space="preserve">   Parties d'appareils pour la filtration ou l'épuration des liquides ou des gaz, n.d.a.</v>
      </c>
      <c r="C10240">
        <v>1124076</v>
      </c>
      <c r="D10240">
        <v>87</v>
      </c>
    </row>
    <row r="10241" spans="1:4" x14ac:dyDescent="0.25">
      <c r="A10241" t="str">
        <f>T("   842790")</f>
        <v xml:space="preserve">   842790</v>
      </c>
      <c r="B10241" t="str">
        <f>T("   Chariots de manutention munis d'un dispositif de levage mais non autopropulsés")</f>
        <v xml:space="preserve">   Chariots de manutention munis d'un dispositif de levage mais non autopropulsés</v>
      </c>
      <c r="C10241">
        <v>33121228</v>
      </c>
      <c r="D10241">
        <v>11684</v>
      </c>
    </row>
    <row r="10242" spans="1:4" x14ac:dyDescent="0.25">
      <c r="A10242" t="str">
        <f>T("   842839")</f>
        <v xml:space="preserve">   842839</v>
      </c>
      <c r="B10242"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10242">
        <v>479350</v>
      </c>
      <c r="D10242">
        <v>2365</v>
      </c>
    </row>
    <row r="10243" spans="1:4" x14ac:dyDescent="0.25">
      <c r="A10243" t="str">
        <f>T("   842911")</f>
        <v xml:space="preserve">   842911</v>
      </c>
      <c r="B10243" t="str">
        <f>T("   Bouteurs 'bulldozers' et bouteurs biais 'angledozers', à chenilles")</f>
        <v xml:space="preserve">   Bouteurs 'bulldozers' et bouteurs biais 'angledozers', à chenilles</v>
      </c>
      <c r="C10243">
        <v>28000790</v>
      </c>
      <c r="D10243">
        <v>90768</v>
      </c>
    </row>
    <row r="10244" spans="1:4" x14ac:dyDescent="0.25">
      <c r="A10244" t="str">
        <f>T("   842919")</f>
        <v xml:space="preserve">   842919</v>
      </c>
      <c r="B10244" t="str">
        <f>T("   Bouteurs 'bulldozers' et bouteurs biais 'angledozers', sur roues")</f>
        <v xml:space="preserve">   Bouteurs 'bulldozers' et bouteurs biais 'angledozers', sur roues</v>
      </c>
      <c r="C10244">
        <v>6047480</v>
      </c>
      <c r="D10244">
        <v>15000</v>
      </c>
    </row>
    <row r="10245" spans="1:4" x14ac:dyDescent="0.25">
      <c r="A10245" t="str">
        <f>T("   842920")</f>
        <v xml:space="preserve">   842920</v>
      </c>
      <c r="B10245" t="str">
        <f>T("   Niveleuses autopropulsées")</f>
        <v xml:space="preserve">   Niveleuses autopropulsées</v>
      </c>
      <c r="C10245">
        <v>28100911</v>
      </c>
      <c r="D10245">
        <v>28922</v>
      </c>
    </row>
    <row r="10246" spans="1:4" x14ac:dyDescent="0.25">
      <c r="A10246" t="str">
        <f>T("   842940")</f>
        <v xml:space="preserve">   842940</v>
      </c>
      <c r="B10246" t="str">
        <f>T("   Rouleaux compresseurs et autres compacteuses, autopropulsés")</f>
        <v xml:space="preserve">   Rouleaux compresseurs et autres compacteuses, autopropulsés</v>
      </c>
      <c r="C10246">
        <v>5368720</v>
      </c>
      <c r="D10246">
        <v>30391</v>
      </c>
    </row>
    <row r="10247" spans="1:4" x14ac:dyDescent="0.25">
      <c r="A10247" t="str">
        <f>T("   842951")</f>
        <v xml:space="preserve">   842951</v>
      </c>
      <c r="B10247" t="str">
        <f>T("   Chargeuses et chargeuses-pelleteuses, à chargement frontal, autopropulsées")</f>
        <v xml:space="preserve">   Chargeuses et chargeuses-pelleteuses, à chargement frontal, autopropulsées</v>
      </c>
      <c r="C10247">
        <v>69736882</v>
      </c>
      <c r="D10247">
        <v>31266</v>
      </c>
    </row>
    <row r="10248" spans="1:4" x14ac:dyDescent="0.25">
      <c r="A10248" t="str">
        <f>T("   842959")</f>
        <v xml:space="preserve">   842959</v>
      </c>
      <c r="B10248"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0248">
        <v>62426134</v>
      </c>
      <c r="D10248">
        <v>226285</v>
      </c>
    </row>
    <row r="10249" spans="1:4" x14ac:dyDescent="0.25">
      <c r="A10249" t="str">
        <f>T("   843120")</f>
        <v xml:space="preserve">   843120</v>
      </c>
      <c r="B10249" t="str">
        <f>T("   Parties de chariots-gerbeurs et autres chariots de manutention munis d'un dispositif de levage, n.d.a.")</f>
        <v xml:space="preserve">   Parties de chariots-gerbeurs et autres chariots de manutention munis d'un dispositif de levage, n.d.a.</v>
      </c>
      <c r="C10249">
        <v>2345057</v>
      </c>
      <c r="D10249">
        <v>200</v>
      </c>
    </row>
    <row r="10250" spans="1:4" x14ac:dyDescent="0.25">
      <c r="A10250" t="str">
        <f>T("   843149")</f>
        <v xml:space="preserve">   843149</v>
      </c>
      <c r="B10250" t="str">
        <f>T("   Parties de machines et appareils du n° 8426, 8429 ou 8430, n.d.a.")</f>
        <v xml:space="preserve">   Parties de machines et appareils du n° 8426, 8429 ou 8430, n.d.a.</v>
      </c>
      <c r="C10250">
        <v>62526074</v>
      </c>
      <c r="D10250">
        <v>6081</v>
      </c>
    </row>
    <row r="10251" spans="1:4" x14ac:dyDescent="0.25">
      <c r="A10251" t="str">
        <f>T("   843390")</f>
        <v xml:space="preserve">   843390</v>
      </c>
      <c r="B10251"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10251">
        <v>36835651</v>
      </c>
      <c r="D10251">
        <v>2654</v>
      </c>
    </row>
    <row r="10252" spans="1:4" x14ac:dyDescent="0.25">
      <c r="A10252" t="str">
        <f>T("   843790")</f>
        <v xml:space="preserve">   843790</v>
      </c>
      <c r="B10252"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10252">
        <v>6468924</v>
      </c>
      <c r="D10252">
        <v>39</v>
      </c>
    </row>
    <row r="10253" spans="1:4" x14ac:dyDescent="0.25">
      <c r="A10253" t="str">
        <f>T("   843890")</f>
        <v xml:space="preserve">   843890</v>
      </c>
      <c r="B10253"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10253">
        <v>2969185</v>
      </c>
      <c r="D10253">
        <v>150</v>
      </c>
    </row>
    <row r="10254" spans="1:4" x14ac:dyDescent="0.25">
      <c r="A10254" t="str">
        <f>T("   844359")</f>
        <v xml:space="preserve">   844359</v>
      </c>
      <c r="B10254" t="s">
        <v>421</v>
      </c>
      <c r="C10254">
        <v>65000</v>
      </c>
      <c r="D10254">
        <v>25</v>
      </c>
    </row>
    <row r="10255" spans="1:4" x14ac:dyDescent="0.25">
      <c r="A10255" t="str">
        <f>T("   844390")</f>
        <v xml:space="preserve">   844390</v>
      </c>
      <c r="B10255" t="str">
        <f>T("   Parties de machines et appareils à imprimer et de leur machines et appareils auxiliaires, n.d.a.")</f>
        <v xml:space="preserve">   Parties de machines et appareils à imprimer et de leur machines et appareils auxiliaires, n.d.a.</v>
      </c>
      <c r="C10255">
        <v>730050</v>
      </c>
      <c r="D10255">
        <v>300</v>
      </c>
    </row>
    <row r="10256" spans="1:4" x14ac:dyDescent="0.25">
      <c r="A10256" t="str">
        <f>T("   844519")</f>
        <v xml:space="preserve">   844519</v>
      </c>
      <c r="B10256" t="str">
        <f>T("   MACHINES POUR LA PRÉPARATION DES MATIÈRES TEXTILES (AUTRES QUE CARDÉS, PEIGNEUSES ET BANCS À BROCHES)")</f>
        <v xml:space="preserve">   MACHINES POUR LA PRÉPARATION DES MATIÈRES TEXTILES (AUTRES QUE CARDÉS, PEIGNEUSES ET BANCS À BROCHES)</v>
      </c>
      <c r="C10256">
        <v>13646802</v>
      </c>
      <c r="D10256">
        <v>676</v>
      </c>
    </row>
    <row r="10257" spans="1:4" x14ac:dyDescent="0.25">
      <c r="A10257" t="str">
        <f>T("   844832")</f>
        <v xml:space="preserve">   844832</v>
      </c>
      <c r="B10257" t="str">
        <f>T("   PARTIES ET ACCESSOIRES DE MACHINES POUR LA PRÉPARATION DES MATIÈRES TEXTILES, N.D.A. (AUTRES QUE LES GARNITURES DE CARDÉS)")</f>
        <v xml:space="preserve">   PARTIES ET ACCESSOIRES DE MACHINES POUR LA PRÉPARATION DES MATIÈRES TEXTILES, N.D.A. (AUTRES QUE LES GARNITURES DE CARDÉS)</v>
      </c>
      <c r="C10257">
        <v>21193051</v>
      </c>
      <c r="D10257">
        <v>1325</v>
      </c>
    </row>
    <row r="10258" spans="1:4" x14ac:dyDescent="0.25">
      <c r="A10258" t="str">
        <f>T("   845019")</f>
        <v xml:space="preserve">   845019</v>
      </c>
      <c r="B10258"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10258">
        <v>349887</v>
      </c>
      <c r="D10258">
        <v>809</v>
      </c>
    </row>
    <row r="10259" spans="1:4" x14ac:dyDescent="0.25">
      <c r="A10259" t="str">
        <f>T("   845229")</f>
        <v xml:space="preserve">   845229</v>
      </c>
      <c r="B10259" t="str">
        <f>T("   Machines à coudre de type industriel (sauf unités automatiques)")</f>
        <v xml:space="preserve">   Machines à coudre de type industriel (sauf unités automatiques)</v>
      </c>
      <c r="C10259">
        <v>245985</v>
      </c>
      <c r="D10259">
        <v>1050</v>
      </c>
    </row>
    <row r="10260" spans="1:4" x14ac:dyDescent="0.25">
      <c r="A10260" t="str">
        <f>T("   846694")</f>
        <v xml:space="preserve">   846694</v>
      </c>
      <c r="B10260" t="str">
        <f>T("   Parties et accessoires pour machines-outils pour le travail du métal avec enlèvement de matière, n.d.a.")</f>
        <v xml:space="preserve">   Parties et accessoires pour machines-outils pour le travail du métal avec enlèvement de matière, n.d.a.</v>
      </c>
      <c r="C10260">
        <v>2485000</v>
      </c>
      <c r="D10260">
        <v>7000</v>
      </c>
    </row>
    <row r="10261" spans="1:4" x14ac:dyDescent="0.25">
      <c r="A10261" t="str">
        <f>T("   847110")</f>
        <v xml:space="preserve">   847110</v>
      </c>
      <c r="B10261" t="str">
        <f>T("   Machines automatiques de traitement de l'information, analogiques ou hybrides")</f>
        <v xml:space="preserve">   Machines automatiques de traitement de l'information, analogiques ou hybrides</v>
      </c>
      <c r="C10261">
        <v>2980702</v>
      </c>
      <c r="D10261">
        <v>7541</v>
      </c>
    </row>
    <row r="10262" spans="1:4" x14ac:dyDescent="0.25">
      <c r="A10262" t="str">
        <f>T("   847130")</f>
        <v xml:space="preserve">   847130</v>
      </c>
      <c r="B10262"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10262">
        <v>3721779</v>
      </c>
      <c r="D10262">
        <v>293</v>
      </c>
    </row>
    <row r="10263" spans="1:4" x14ac:dyDescent="0.25">
      <c r="A10263" t="str">
        <f>T("   847141")</f>
        <v xml:space="preserve">   847141</v>
      </c>
      <c r="B10263" t="s">
        <v>434</v>
      </c>
      <c r="C10263">
        <v>15796474</v>
      </c>
      <c r="D10263">
        <v>4675</v>
      </c>
    </row>
    <row r="10264" spans="1:4" x14ac:dyDescent="0.25">
      <c r="A10264" t="str">
        <f>T("   847149")</f>
        <v xml:space="preserve">   847149</v>
      </c>
      <c r="B10264" t="s">
        <v>435</v>
      </c>
      <c r="C10264">
        <v>2750208</v>
      </c>
      <c r="D10264">
        <v>8091</v>
      </c>
    </row>
    <row r="10265" spans="1:4" x14ac:dyDescent="0.25">
      <c r="A10265" t="str">
        <f>T("   847160")</f>
        <v xml:space="preserve">   847160</v>
      </c>
      <c r="B10265"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10265">
        <v>3146042</v>
      </c>
      <c r="D10265">
        <v>75.3</v>
      </c>
    </row>
    <row r="10266" spans="1:4" x14ac:dyDescent="0.25">
      <c r="A10266" t="str">
        <f>T("   847180")</f>
        <v xml:space="preserve">   847180</v>
      </c>
      <c r="B10266"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0266">
        <v>13148561</v>
      </c>
      <c r="D10266">
        <v>19034</v>
      </c>
    </row>
    <row r="10267" spans="1:4" x14ac:dyDescent="0.25">
      <c r="A10267" t="str">
        <f>T("   847190")</f>
        <v xml:space="preserve">   847190</v>
      </c>
      <c r="B1026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0267">
        <v>17560025</v>
      </c>
      <c r="D10267">
        <v>3642.7</v>
      </c>
    </row>
    <row r="10268" spans="1:4" x14ac:dyDescent="0.25">
      <c r="A10268" t="str">
        <f>T("   847330")</f>
        <v xml:space="preserve">   847330</v>
      </c>
      <c r="B10268" t="str">
        <f>T("   Parties et accessoires pour machines automatiques de traitement de l'information ou pour autres machines du n° 8471, n.d.a.")</f>
        <v xml:space="preserve">   Parties et accessoires pour machines automatiques de traitement de l'information ou pour autres machines du n° 8471, n.d.a.</v>
      </c>
      <c r="C10268">
        <v>1587822</v>
      </c>
      <c r="D10268">
        <v>49</v>
      </c>
    </row>
    <row r="10269" spans="1:4" x14ac:dyDescent="0.25">
      <c r="A10269" t="str">
        <f>T("   847410")</f>
        <v xml:space="preserve">   847410</v>
      </c>
      <c r="B10269" t="str">
        <f>T("   Machines et appareils à trier, cribler, séparer ou laver les matières minérales solides, y.c. -les poudres et les pâtes- (à l'excl. des centrifugeuses et des filtres-presses)")</f>
        <v xml:space="preserve">   Machines et appareils à trier, cribler, séparer ou laver les matières minérales solides, y.c. -les poudres et les pâtes- (à l'excl. des centrifugeuses et des filtres-presses)</v>
      </c>
      <c r="C10269">
        <v>1198375</v>
      </c>
      <c r="D10269">
        <v>4000</v>
      </c>
    </row>
    <row r="10270" spans="1:4" x14ac:dyDescent="0.25">
      <c r="A10270" t="str">
        <f>T("   847439")</f>
        <v xml:space="preserve">   847439</v>
      </c>
      <c r="B10270"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10270">
        <v>4943537</v>
      </c>
      <c r="D10270">
        <v>1915</v>
      </c>
    </row>
    <row r="10271" spans="1:4" x14ac:dyDescent="0.25">
      <c r="A10271" t="str">
        <f>T("   847480")</f>
        <v xml:space="preserve">   847480</v>
      </c>
      <c r="B10271" t="s">
        <v>437</v>
      </c>
      <c r="C10271">
        <v>435321702</v>
      </c>
      <c r="D10271">
        <v>5235</v>
      </c>
    </row>
    <row r="10272" spans="1:4" x14ac:dyDescent="0.25">
      <c r="A10272" t="str">
        <f>T("   847490")</f>
        <v xml:space="preserve">   847490</v>
      </c>
      <c r="B10272" t="str">
        <f>T("   Parties des machines et appareils pour le travail des matières minérales du n° 8474, n.d.a.")</f>
        <v xml:space="preserve">   Parties des machines et appareils pour le travail des matières minérales du n° 8474, n.d.a.</v>
      </c>
      <c r="C10272">
        <v>59220268</v>
      </c>
      <c r="D10272">
        <v>20382</v>
      </c>
    </row>
    <row r="10273" spans="1:4" x14ac:dyDescent="0.25">
      <c r="A10273" t="str">
        <f>T("   847759")</f>
        <v xml:space="preserve">   847759</v>
      </c>
      <c r="B10273" t="s">
        <v>438</v>
      </c>
      <c r="C10273">
        <v>12383600</v>
      </c>
      <c r="D10273">
        <v>13381</v>
      </c>
    </row>
    <row r="10274" spans="1:4" x14ac:dyDescent="0.25">
      <c r="A10274" t="str">
        <f>T("   847790")</f>
        <v xml:space="preserve">   847790</v>
      </c>
      <c r="B10274"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10274">
        <v>2476581</v>
      </c>
      <c r="D10274">
        <v>95</v>
      </c>
    </row>
    <row r="10275" spans="1:4" x14ac:dyDescent="0.25">
      <c r="A10275" t="str">
        <f>T("   847910")</f>
        <v xml:space="preserve">   847910</v>
      </c>
      <c r="B10275" t="str">
        <f>T("   Machines et appareils pour les travaux publics, le bâtiment ou les travaux analogues, n.d.a.")</f>
        <v xml:space="preserve">   Machines et appareils pour les travaux publics, le bâtiment ou les travaux analogues, n.d.a.</v>
      </c>
      <c r="C10275">
        <v>4500138</v>
      </c>
      <c r="D10275">
        <v>15422</v>
      </c>
    </row>
    <row r="10276" spans="1:4" x14ac:dyDescent="0.25">
      <c r="A10276" t="str">
        <f>T("   847990")</f>
        <v xml:space="preserve">   847990</v>
      </c>
      <c r="B10276" t="str">
        <f>T("   Parties de machines et appareils, y.c. les appareils mécaniques, n.d.a.")</f>
        <v xml:space="preserve">   Parties de machines et appareils, y.c. les appareils mécaniques, n.d.a.</v>
      </c>
      <c r="C10276">
        <v>2752298</v>
      </c>
      <c r="D10276">
        <v>117</v>
      </c>
    </row>
    <row r="10277" spans="1:4" x14ac:dyDescent="0.25">
      <c r="A10277" t="str">
        <f>T("   848180")</f>
        <v xml:space="preserve">   848180</v>
      </c>
      <c r="B10277"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0277">
        <v>31716448</v>
      </c>
      <c r="D10277">
        <v>12462</v>
      </c>
    </row>
    <row r="10278" spans="1:4" x14ac:dyDescent="0.25">
      <c r="A10278" t="str">
        <f>T("   848330")</f>
        <v xml:space="preserve">   848330</v>
      </c>
      <c r="B10278" t="str">
        <f>T("   Paliers pour machines, sans roulements incorporés; coussinets et coquilles de coussinets pour machines")</f>
        <v xml:space="preserve">   Paliers pour machines, sans roulements incorporés; coussinets et coquilles de coussinets pour machines</v>
      </c>
      <c r="C10278">
        <v>13687997</v>
      </c>
      <c r="D10278">
        <v>981</v>
      </c>
    </row>
    <row r="10279" spans="1:4" x14ac:dyDescent="0.25">
      <c r="A10279" t="str">
        <f>T("   848590")</f>
        <v xml:space="preserve">   848590</v>
      </c>
      <c r="B10279" t="str">
        <f>T("   Parties de machines et appareils du chapitre 84, sans caractéristiques spéciales d'utilisation, n.d.a.")</f>
        <v xml:space="preserve">   Parties de machines et appareils du chapitre 84, sans caractéristiques spéciales d'utilisation, n.d.a.</v>
      </c>
      <c r="C10279">
        <v>846052</v>
      </c>
      <c r="D10279">
        <v>61</v>
      </c>
    </row>
    <row r="10280" spans="1:4" x14ac:dyDescent="0.25">
      <c r="A10280" t="str">
        <f>T("   850134")</f>
        <v xml:space="preserve">   850134</v>
      </c>
      <c r="B10280" t="str">
        <f>T("   Moteurs et génératrices à courant continu, puissance &gt; 375 kW")</f>
        <v xml:space="preserve">   Moteurs et génératrices à courant continu, puissance &gt; 375 kW</v>
      </c>
      <c r="C10280">
        <v>2008721</v>
      </c>
      <c r="D10280">
        <v>126</v>
      </c>
    </row>
    <row r="10281" spans="1:4" x14ac:dyDescent="0.25">
      <c r="A10281" t="str">
        <f>T("   850162")</f>
        <v xml:space="preserve">   850162</v>
      </c>
      <c r="B10281" t="str">
        <f>T("   Alternateurs, puissance &gt; 75 kVA mais &lt;= 375 kVA")</f>
        <v xml:space="preserve">   Alternateurs, puissance &gt; 75 kVA mais &lt;= 375 kVA</v>
      </c>
      <c r="C10281">
        <v>100000</v>
      </c>
      <c r="D10281">
        <v>20</v>
      </c>
    </row>
    <row r="10282" spans="1:4" x14ac:dyDescent="0.25">
      <c r="A10282" t="str">
        <f>T("   850211")</f>
        <v xml:space="preserve">   850211</v>
      </c>
      <c r="B10282" t="s">
        <v>444</v>
      </c>
      <c r="C10282">
        <v>31307294</v>
      </c>
      <c r="D10282">
        <v>5470</v>
      </c>
    </row>
    <row r="10283" spans="1:4" x14ac:dyDescent="0.25">
      <c r="A10283" t="str">
        <f>T("   850213")</f>
        <v xml:space="preserve">   850213</v>
      </c>
      <c r="B10283" t="s">
        <v>445</v>
      </c>
      <c r="C10283">
        <v>33368029</v>
      </c>
      <c r="D10283">
        <v>5000</v>
      </c>
    </row>
    <row r="10284" spans="1:4" x14ac:dyDescent="0.25">
      <c r="A10284" t="str">
        <f>T("   850239")</f>
        <v xml:space="preserve">   850239</v>
      </c>
      <c r="B10284" t="str">
        <f>T("   Groupes électrogènes (autres qu'à énergie éolienne et à moteurs à piston)")</f>
        <v xml:space="preserve">   Groupes électrogènes (autres qu'à énergie éolienne et à moteurs à piston)</v>
      </c>
      <c r="C10284">
        <v>311578</v>
      </c>
      <c r="D10284">
        <v>90</v>
      </c>
    </row>
    <row r="10285" spans="1:4" x14ac:dyDescent="0.25">
      <c r="A10285" t="str">
        <f>T("   850300")</f>
        <v xml:space="preserve">   850300</v>
      </c>
      <c r="B10285"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10285">
        <v>18596466</v>
      </c>
      <c r="D10285">
        <v>1024</v>
      </c>
    </row>
    <row r="10286" spans="1:4" x14ac:dyDescent="0.25">
      <c r="A10286" t="str">
        <f>T("   850433")</f>
        <v xml:space="preserve">   850433</v>
      </c>
      <c r="B10286" t="str">
        <f>T("   Transformateurs à sec, puissance &gt; 16 kVA mais &lt;= 500 kVA")</f>
        <v xml:space="preserve">   Transformateurs à sec, puissance &gt; 16 kVA mais &lt;= 500 kVA</v>
      </c>
      <c r="C10286">
        <v>13693984</v>
      </c>
      <c r="D10286">
        <v>1908</v>
      </c>
    </row>
    <row r="10287" spans="1:4" x14ac:dyDescent="0.25">
      <c r="A10287" t="str">
        <f>T("   850440")</f>
        <v xml:space="preserve">   850440</v>
      </c>
      <c r="B10287" t="str">
        <f>T("   CONVERTISSEURS STATIQUES")</f>
        <v xml:space="preserve">   CONVERTISSEURS STATIQUES</v>
      </c>
      <c r="C10287">
        <v>1075388</v>
      </c>
      <c r="D10287">
        <v>220</v>
      </c>
    </row>
    <row r="10288" spans="1:4" x14ac:dyDescent="0.25">
      <c r="A10288" t="str">
        <f>T("   850590")</f>
        <v xml:space="preserve">   850590</v>
      </c>
      <c r="B10288" t="str">
        <f>T("   ÉLECTRO-AIMANTS (AUTRES QU'À USAGES MÉDICAUX), TÊTES DE LEVAGE ÉLECTROMAGNÉTIQUES AINSI QUE PLATEAUX, MANDRINS ET DISPOSITIFS MAGNÉTIQUES OU ÉLECTROMAGNÉTIQUES SIMIL. DE FIXATION ET LEURS PARTIES N.D.A.")</f>
        <v xml:space="preserve">   ÉLECTRO-AIMANTS (AUTRES QU'À USAGES MÉDICAUX), TÊTES DE LEVAGE ÉLECTROMAGNÉTIQUES AINSI QUE PLATEAUX, MANDRINS ET DISPOSITIFS MAGNÉTIQUES OU ÉLECTROMAGNÉTIQUES SIMIL. DE FIXATION ET LEURS PARTIES N.D.A.</v>
      </c>
      <c r="C10288">
        <v>147919</v>
      </c>
      <c r="D10288">
        <v>1</v>
      </c>
    </row>
    <row r="10289" spans="1:4" x14ac:dyDescent="0.25">
      <c r="A10289" t="str">
        <f>T("   850680")</f>
        <v xml:space="preserve">   850680</v>
      </c>
      <c r="B10289"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10289">
        <v>2644187</v>
      </c>
      <c r="D10289">
        <v>170.8</v>
      </c>
    </row>
    <row r="10290" spans="1:4" x14ac:dyDescent="0.25">
      <c r="A10290" t="str">
        <f>T("   850910")</f>
        <v xml:space="preserve">   850910</v>
      </c>
      <c r="B10290"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10290">
        <v>23009</v>
      </c>
      <c r="D10290">
        <v>50</v>
      </c>
    </row>
    <row r="10291" spans="1:4" x14ac:dyDescent="0.25">
      <c r="A10291" t="str">
        <f>T("   851650")</f>
        <v xml:space="preserve">   851650</v>
      </c>
      <c r="B10291" t="str">
        <f>T("   Fours à micro-ondes")</f>
        <v xml:space="preserve">   Fours à micro-ondes</v>
      </c>
      <c r="C10291">
        <v>139012</v>
      </c>
      <c r="D10291">
        <v>60</v>
      </c>
    </row>
    <row r="10292" spans="1:4" x14ac:dyDescent="0.25">
      <c r="A10292" t="str">
        <f>T("   851730")</f>
        <v xml:space="preserve">   851730</v>
      </c>
      <c r="B10292" t="str">
        <f>T("   Appareils de commutation pour la téléphonie ou la télégraphie par fil")</f>
        <v xml:space="preserve">   Appareils de commutation pour la téléphonie ou la télégraphie par fil</v>
      </c>
      <c r="C10292">
        <v>258849</v>
      </c>
      <c r="D10292">
        <v>300</v>
      </c>
    </row>
    <row r="10293" spans="1:4" x14ac:dyDescent="0.25">
      <c r="A10293" t="str">
        <f>T("   851780")</f>
        <v xml:space="preserve">   851780</v>
      </c>
      <c r="B10293" t="s">
        <v>453</v>
      </c>
      <c r="C10293">
        <v>91153877</v>
      </c>
      <c r="D10293">
        <v>375</v>
      </c>
    </row>
    <row r="10294" spans="1:4" x14ac:dyDescent="0.25">
      <c r="A10294" t="str">
        <f>T("   851790")</f>
        <v xml:space="preserve">   851790</v>
      </c>
      <c r="B10294" t="s">
        <v>454</v>
      </c>
      <c r="C10294">
        <v>141509872</v>
      </c>
      <c r="D10294">
        <v>188</v>
      </c>
    </row>
    <row r="10295" spans="1:4" x14ac:dyDescent="0.25">
      <c r="A10295" t="str">
        <f>T("   851829")</f>
        <v xml:space="preserve">   851829</v>
      </c>
      <c r="B10295" t="str">
        <f>T("   Haut-parleurs sans enceinte")</f>
        <v xml:space="preserve">   Haut-parleurs sans enceinte</v>
      </c>
      <c r="C10295">
        <v>1620974</v>
      </c>
      <c r="D10295">
        <v>2100</v>
      </c>
    </row>
    <row r="10296" spans="1:4" x14ac:dyDescent="0.25">
      <c r="A10296" t="str">
        <f>T("   851830")</f>
        <v xml:space="preserve">   851830</v>
      </c>
      <c r="B10296" t="s">
        <v>455</v>
      </c>
      <c r="C10296">
        <v>194820</v>
      </c>
      <c r="D10296">
        <v>4</v>
      </c>
    </row>
    <row r="10297" spans="1:4" x14ac:dyDescent="0.25">
      <c r="A10297" t="str">
        <f>T("   851929")</f>
        <v xml:space="preserve">   851929</v>
      </c>
      <c r="B10297" t="str">
        <f>T("   ÉLECTROPHONES AVEC AMPLIFICATEUR ET HAUT-PARLEUR (AUTRES QUE COMMANDÉS PAR L'INTRODUCTION D'UNE PIÈCE DE MONNAIE OU D'UN JETON)")</f>
        <v xml:space="preserve">   ÉLECTROPHONES AVEC AMPLIFICATEUR ET HAUT-PARLEUR (AUTRES QUE COMMANDÉS PAR L'INTRODUCTION D'UNE PIÈCE DE MONNAIE OU D'UN JETON)</v>
      </c>
      <c r="C10297">
        <v>2102909</v>
      </c>
      <c r="D10297">
        <v>286</v>
      </c>
    </row>
    <row r="10298" spans="1:4" x14ac:dyDescent="0.25">
      <c r="A10298" t="str">
        <f>T("   852190")</f>
        <v xml:space="preserve">   852190</v>
      </c>
      <c r="B10298" t="s">
        <v>457</v>
      </c>
      <c r="C10298">
        <v>658149</v>
      </c>
      <c r="D10298">
        <v>1971</v>
      </c>
    </row>
    <row r="10299" spans="1:4" x14ac:dyDescent="0.25">
      <c r="A10299" t="str">
        <f>T("   852320")</f>
        <v xml:space="preserve">   852320</v>
      </c>
      <c r="B10299" t="str">
        <f>T("   DISQUES MAGNÉTIQUES NON-ENREGISTRÉS")</f>
        <v xml:space="preserve">   DISQUES MAGNÉTIQUES NON-ENREGISTRÉS</v>
      </c>
      <c r="C10299">
        <v>819160</v>
      </c>
      <c r="D10299">
        <v>112</v>
      </c>
    </row>
    <row r="10300" spans="1:4" x14ac:dyDescent="0.25">
      <c r="A10300" t="str">
        <f>T("   852431")</f>
        <v xml:space="preserve">   852431</v>
      </c>
      <c r="B10300" t="str">
        <f>T("   Disques enregistrés pour systèmes de lecture optique par faisceau laser, pour la reproduction des phénomènes autres que le son ou l'image")</f>
        <v xml:space="preserve">   Disques enregistrés pour systèmes de lecture optique par faisceau laser, pour la reproduction des phénomènes autres que le son ou l'image</v>
      </c>
      <c r="C10300">
        <v>9521329</v>
      </c>
      <c r="D10300">
        <v>183</v>
      </c>
    </row>
    <row r="10301" spans="1:4" x14ac:dyDescent="0.25">
      <c r="A10301" t="str">
        <f>T("   852491")</f>
        <v xml:space="preserve">   852491</v>
      </c>
      <c r="B10301" t="s">
        <v>459</v>
      </c>
      <c r="C10301">
        <v>80000</v>
      </c>
      <c r="D10301">
        <v>60</v>
      </c>
    </row>
    <row r="10302" spans="1:4" x14ac:dyDescent="0.25">
      <c r="A10302" t="str">
        <f>T("   852540")</f>
        <v xml:space="preserve">   852540</v>
      </c>
      <c r="B10302" t="str">
        <f>T("   Appareils de prise de vues fixes vidéo et autres caméscopes; appareils photographiques numériques")</f>
        <v xml:space="preserve">   Appareils de prise de vues fixes vidéo et autres caméscopes; appareils photographiques numériques</v>
      </c>
      <c r="C10302">
        <v>29720</v>
      </c>
      <c r="D10302">
        <v>35</v>
      </c>
    </row>
    <row r="10303" spans="1:4" x14ac:dyDescent="0.25">
      <c r="A10303" t="str">
        <f>T("   852719")</f>
        <v xml:space="preserve">   852719</v>
      </c>
      <c r="B10303"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10303">
        <v>295182</v>
      </c>
      <c r="D10303">
        <v>700</v>
      </c>
    </row>
    <row r="10304" spans="1:4" x14ac:dyDescent="0.25">
      <c r="A10304" t="str">
        <f>T("   852731")</f>
        <v xml:space="preserve">   852731</v>
      </c>
      <c r="B10304" t="s">
        <v>462</v>
      </c>
      <c r="C10304">
        <v>390192</v>
      </c>
      <c r="D10304">
        <v>1757</v>
      </c>
    </row>
    <row r="10305" spans="1:4" x14ac:dyDescent="0.25">
      <c r="A10305" t="str">
        <f>T("   852812")</f>
        <v xml:space="preserve">   852812</v>
      </c>
      <c r="B1030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305">
        <v>6441449</v>
      </c>
      <c r="D10305">
        <v>7696</v>
      </c>
    </row>
    <row r="10306" spans="1:4" x14ac:dyDescent="0.25">
      <c r="A10306" t="str">
        <f>T("   852910")</f>
        <v xml:space="preserve">   852910</v>
      </c>
      <c r="B10306"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0306">
        <v>198300</v>
      </c>
      <c r="D10306">
        <v>9</v>
      </c>
    </row>
    <row r="10307" spans="1:4" x14ac:dyDescent="0.25">
      <c r="A10307" t="str">
        <f>T("   853110")</f>
        <v xml:space="preserve">   853110</v>
      </c>
      <c r="B10307" t="str">
        <f>T("   Avertisseurs électriques pour la protection contre le vol ou l'incendie et appareils simil.")</f>
        <v xml:space="preserve">   Avertisseurs électriques pour la protection contre le vol ou l'incendie et appareils simil.</v>
      </c>
      <c r="C10307">
        <v>12223511</v>
      </c>
      <c r="D10307">
        <v>408</v>
      </c>
    </row>
    <row r="10308" spans="1:4" x14ac:dyDescent="0.25">
      <c r="A10308" t="str">
        <f>T("   853540")</f>
        <v xml:space="preserve">   853540</v>
      </c>
      <c r="B10308" t="str">
        <f>T("   Parafoudres, limiteurs de tension et étaleurs d'ondes, pour une tension &gt; 1.000 V")</f>
        <v xml:space="preserve">   Parafoudres, limiteurs de tension et étaleurs d'ondes, pour une tension &gt; 1.000 V</v>
      </c>
      <c r="C10308">
        <v>207559</v>
      </c>
      <c r="D10308">
        <v>12</v>
      </c>
    </row>
    <row r="10309" spans="1:4" x14ac:dyDescent="0.25">
      <c r="A10309" t="str">
        <f>T("   853620")</f>
        <v xml:space="preserve">   853620</v>
      </c>
      <c r="B10309" t="str">
        <f>T("   Disjoncteurs, pour une tension &lt;= 1.000 V")</f>
        <v xml:space="preserve">   Disjoncteurs, pour une tension &lt;= 1.000 V</v>
      </c>
      <c r="C10309">
        <v>1287491</v>
      </c>
      <c r="D10309">
        <v>65</v>
      </c>
    </row>
    <row r="10310" spans="1:4" x14ac:dyDescent="0.25">
      <c r="A10310" t="str">
        <f>T("   853650")</f>
        <v xml:space="preserve">   853650</v>
      </c>
      <c r="B10310" t="str">
        <f>T("   Interrupteurs, sectionneurs et commutateurs, pour une tension &lt;= 1.000 V (autres que relais et disjoncteurs)")</f>
        <v xml:space="preserve">   Interrupteurs, sectionneurs et commutateurs, pour une tension &lt;= 1.000 V (autres que relais et disjoncteurs)</v>
      </c>
      <c r="C10310">
        <v>2256300</v>
      </c>
      <c r="D10310">
        <v>163</v>
      </c>
    </row>
    <row r="10311" spans="1:4" x14ac:dyDescent="0.25">
      <c r="A10311" t="str">
        <f>T("   854210")</f>
        <v xml:space="preserve">   854210</v>
      </c>
      <c r="B10311" t="str">
        <f>T("   Cartes munies d'un circuit intégré électronique [cartes intelligentes], munies ou non d'une piste magnétique")</f>
        <v xml:space="preserve">   Cartes munies d'un circuit intégré électronique [cartes intelligentes], munies ou non d'une piste magnétique</v>
      </c>
      <c r="C10311">
        <v>3011253</v>
      </c>
      <c r="D10311">
        <v>73</v>
      </c>
    </row>
    <row r="10312" spans="1:4" x14ac:dyDescent="0.25">
      <c r="A10312" t="str">
        <f>T("   854420")</f>
        <v xml:space="preserve">   854420</v>
      </c>
      <c r="B10312" t="str">
        <f>T("   Câbles coaxiaux et autres conducteurs électriques coaxiaux, isolés")</f>
        <v xml:space="preserve">   Câbles coaxiaux et autres conducteurs électriques coaxiaux, isolés</v>
      </c>
      <c r="C10312">
        <v>2157075</v>
      </c>
      <c r="D10312">
        <v>14</v>
      </c>
    </row>
    <row r="10313" spans="1:4" x14ac:dyDescent="0.25">
      <c r="A10313" t="str">
        <f>T("   854449")</f>
        <v xml:space="preserve">   854449</v>
      </c>
      <c r="B10313" t="str">
        <f>T("   CONDUCTEURS ÉLECTRIQUES, POUR TENSION &lt;= 1.000 V, ISOLÉS, SANS PIÈCES DE CONNEXION, N.D.A.")</f>
        <v xml:space="preserve">   CONDUCTEURS ÉLECTRIQUES, POUR TENSION &lt;= 1.000 V, ISOLÉS, SANS PIÈCES DE CONNEXION, N.D.A.</v>
      </c>
      <c r="C10313">
        <v>606378</v>
      </c>
      <c r="D10313">
        <v>35</v>
      </c>
    </row>
    <row r="10314" spans="1:4" x14ac:dyDescent="0.25">
      <c r="A10314" t="str">
        <f>T("   860799")</f>
        <v xml:space="preserve">   860799</v>
      </c>
      <c r="B10314" t="str">
        <f>T("   Parties de véhicules pour voies ferrées ou simil., du n° 8603, 8604, 8605 ou 8606, n.d.a.")</f>
        <v xml:space="preserve">   Parties de véhicules pour voies ferrées ou simil., du n° 8603, 8604, 8605 ou 8606, n.d.a.</v>
      </c>
      <c r="C10314">
        <v>650000</v>
      </c>
      <c r="D10314">
        <v>2150</v>
      </c>
    </row>
    <row r="10315" spans="1:4" x14ac:dyDescent="0.25">
      <c r="A10315" t="str">
        <f>T("   870120")</f>
        <v xml:space="preserve">   870120</v>
      </c>
      <c r="B10315" t="str">
        <f>T("   Tracteurs routiers pour semi-remorques")</f>
        <v xml:space="preserve">   Tracteurs routiers pour semi-remorques</v>
      </c>
      <c r="C10315">
        <v>42546739</v>
      </c>
      <c r="D10315">
        <v>121640</v>
      </c>
    </row>
    <row r="10316" spans="1:4" x14ac:dyDescent="0.25">
      <c r="A10316" t="str">
        <f>T("   870210")</f>
        <v xml:space="preserve">   870210</v>
      </c>
      <c r="B10316" t="s">
        <v>469</v>
      </c>
      <c r="C10316">
        <v>11281633</v>
      </c>
      <c r="D10316">
        <v>43092</v>
      </c>
    </row>
    <row r="10317" spans="1:4" x14ac:dyDescent="0.25">
      <c r="A10317" t="str">
        <f>T("   870290")</f>
        <v xml:space="preserve">   870290</v>
      </c>
      <c r="B10317" t="s">
        <v>470</v>
      </c>
      <c r="C10317">
        <v>36681575</v>
      </c>
      <c r="D10317">
        <v>55219</v>
      </c>
    </row>
    <row r="10318" spans="1:4" x14ac:dyDescent="0.25">
      <c r="A10318" t="str">
        <f>T("   870322")</f>
        <v xml:space="preserve">   870322</v>
      </c>
      <c r="B10318" t="s">
        <v>472</v>
      </c>
      <c r="C10318">
        <v>6677383275</v>
      </c>
      <c r="D10318">
        <v>4504907</v>
      </c>
    </row>
    <row r="10319" spans="1:4" x14ac:dyDescent="0.25">
      <c r="A10319" t="str">
        <f>T("   870323")</f>
        <v xml:space="preserve">   870323</v>
      </c>
      <c r="B10319" t="s">
        <v>473</v>
      </c>
      <c r="C10319">
        <v>4518190379</v>
      </c>
      <c r="D10319">
        <v>2909190</v>
      </c>
    </row>
    <row r="10320" spans="1:4" x14ac:dyDescent="0.25">
      <c r="A10320" t="str">
        <f>T("   870324")</f>
        <v xml:space="preserve">   870324</v>
      </c>
      <c r="B10320" t="s">
        <v>474</v>
      </c>
      <c r="C10320">
        <v>478055772</v>
      </c>
      <c r="D10320">
        <v>338363</v>
      </c>
    </row>
    <row r="10321" spans="1:4" x14ac:dyDescent="0.25">
      <c r="A10321" t="str">
        <f>T("   870331")</f>
        <v xml:space="preserve">   870331</v>
      </c>
      <c r="B10321" t="s">
        <v>475</v>
      </c>
      <c r="C10321">
        <v>1236281</v>
      </c>
      <c r="D10321">
        <v>1905</v>
      </c>
    </row>
    <row r="10322" spans="1:4" x14ac:dyDescent="0.25">
      <c r="A10322" t="str">
        <f>T("   870332")</f>
        <v xml:space="preserve">   870332</v>
      </c>
      <c r="B10322" t="s">
        <v>476</v>
      </c>
      <c r="C10322">
        <v>29536813</v>
      </c>
      <c r="D10322">
        <v>9787</v>
      </c>
    </row>
    <row r="10323" spans="1:4" x14ac:dyDescent="0.25">
      <c r="A10323" t="str">
        <f>T("   870333")</f>
        <v xml:space="preserve">   870333</v>
      </c>
      <c r="B10323" t="s">
        <v>477</v>
      </c>
      <c r="C10323">
        <v>6479969</v>
      </c>
      <c r="D10323">
        <v>7935</v>
      </c>
    </row>
    <row r="10324" spans="1:4" x14ac:dyDescent="0.25">
      <c r="A10324" t="str">
        <f>T("   870390")</f>
        <v xml:space="preserve">   870390</v>
      </c>
      <c r="B10324" t="str">
        <f>T("   Voitures de tourisme et autres véhicules principalement conçus pour le transport de personnes, y.c. les voitures du type 'break' et les voitures de course (sauf véhicules pour se déplacer sur la neige et autres véhicules spéciaux du n° 8703.10)")</f>
        <v xml:space="preserve">   Voitures de tourisme et autres véhicules principalement conçus pour le transport de personnes, y.c. les voitures du type 'break' et les voitures de course (sauf véhicules pour se déplacer sur la neige et autres véhicules spéciaux du n° 8703.10)</v>
      </c>
      <c r="C10324">
        <v>4076588</v>
      </c>
      <c r="D10324">
        <v>1425</v>
      </c>
    </row>
    <row r="10325" spans="1:4" x14ac:dyDescent="0.25">
      <c r="A10325" t="str">
        <f>T("   870421")</f>
        <v xml:space="preserve">   870421</v>
      </c>
      <c r="B10325" t="s">
        <v>478</v>
      </c>
      <c r="C10325">
        <v>223771408</v>
      </c>
      <c r="D10325">
        <v>168130</v>
      </c>
    </row>
    <row r="10326" spans="1:4" x14ac:dyDescent="0.25">
      <c r="A10326" t="str">
        <f>T("   870422")</f>
        <v xml:space="preserve">   870422</v>
      </c>
      <c r="B10326" t="s">
        <v>479</v>
      </c>
      <c r="C10326">
        <v>88150708</v>
      </c>
      <c r="D10326">
        <v>198572</v>
      </c>
    </row>
    <row r="10327" spans="1:4" x14ac:dyDescent="0.25">
      <c r="A10327" t="str">
        <f>T("   870431")</f>
        <v xml:space="preserve">   870431</v>
      </c>
      <c r="B10327" t="s">
        <v>481</v>
      </c>
      <c r="C10327">
        <v>102750081</v>
      </c>
      <c r="D10327">
        <v>64332</v>
      </c>
    </row>
    <row r="10328" spans="1:4" x14ac:dyDescent="0.25">
      <c r="A10328" t="str">
        <f>T("   870490")</f>
        <v xml:space="preserve">   870490</v>
      </c>
      <c r="B10328"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10328">
        <v>22214297</v>
      </c>
      <c r="D10328">
        <v>14855</v>
      </c>
    </row>
    <row r="10329" spans="1:4" x14ac:dyDescent="0.25">
      <c r="A10329" t="str">
        <f>T("   870590")</f>
        <v xml:space="preserve">   870590</v>
      </c>
      <c r="B10329" t="s">
        <v>483</v>
      </c>
      <c r="C10329">
        <v>9750642</v>
      </c>
      <c r="D10329">
        <v>14200</v>
      </c>
    </row>
    <row r="10330" spans="1:4" x14ac:dyDescent="0.25">
      <c r="A10330" t="str">
        <f>T("   870600")</f>
        <v xml:space="preserve">   870600</v>
      </c>
      <c r="B10330" t="s">
        <v>484</v>
      </c>
      <c r="C10330">
        <v>279000</v>
      </c>
      <c r="D10330">
        <v>2150</v>
      </c>
    </row>
    <row r="10331" spans="1:4" x14ac:dyDescent="0.25">
      <c r="A10331" t="str">
        <f>T("   870899")</f>
        <v xml:space="preserve">   870899</v>
      </c>
      <c r="B1033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0331">
        <v>38526543</v>
      </c>
      <c r="D10331">
        <v>15021.6</v>
      </c>
    </row>
    <row r="10332" spans="1:4" x14ac:dyDescent="0.25">
      <c r="A10332" t="str">
        <f>T("   870919")</f>
        <v xml:space="preserve">   870919</v>
      </c>
      <c r="B10332"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10332">
        <v>896000</v>
      </c>
      <c r="D10332">
        <v>15000</v>
      </c>
    </row>
    <row r="10333" spans="1:4" x14ac:dyDescent="0.25">
      <c r="A10333" t="str">
        <f>T("   871120")</f>
        <v xml:space="preserve">   871120</v>
      </c>
      <c r="B10333" t="str">
        <f>T("   Motocycles à moteur à piston alternatif, cylindrée &gt; 50 cm³ mais &lt;= 250 cm³")</f>
        <v xml:space="preserve">   Motocycles à moteur à piston alternatif, cylindrée &gt; 50 cm³ mais &lt;= 250 cm³</v>
      </c>
      <c r="C10333">
        <v>17876732</v>
      </c>
      <c r="D10333">
        <v>15471</v>
      </c>
    </row>
    <row r="10334" spans="1:4" x14ac:dyDescent="0.25">
      <c r="A10334" t="str">
        <f>T("   871200")</f>
        <v xml:space="preserve">   871200</v>
      </c>
      <c r="B10334" t="str">
        <f>T("   BICYCLETTES ET AUTRES CYCLES, -Y.C. LES TRIPORTEURS-, SANS MOTEUR")</f>
        <v xml:space="preserve">   BICYCLETTES ET AUTRES CYCLES, -Y.C. LES TRIPORTEURS-, SANS MOTEUR</v>
      </c>
      <c r="C10334">
        <v>9184638</v>
      </c>
      <c r="D10334">
        <v>27801</v>
      </c>
    </row>
    <row r="10335" spans="1:4" x14ac:dyDescent="0.25">
      <c r="A10335" t="str">
        <f>T("   871640")</f>
        <v xml:space="preserve">   871640</v>
      </c>
      <c r="B10335"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0335">
        <v>11106714</v>
      </c>
      <c r="D10335">
        <v>17380</v>
      </c>
    </row>
    <row r="10336" spans="1:4" x14ac:dyDescent="0.25">
      <c r="A10336" t="str">
        <f>T("   890399")</f>
        <v xml:space="preserve">   890399</v>
      </c>
      <c r="B10336"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10336">
        <v>3561571</v>
      </c>
      <c r="D10336">
        <v>4090</v>
      </c>
    </row>
    <row r="10337" spans="1:4" x14ac:dyDescent="0.25">
      <c r="A10337" t="str">
        <f>T("   890790")</f>
        <v xml:space="preserve">   890790</v>
      </c>
      <c r="B10337" t="str">
        <f>T("   Engins flottants, p.ex. réservoirs, caissons, coffres d'amarrage, bouées et balises (sauf radeaux gonflables, bateaux du n° 8901 à 8906 et engins flottants à dépecer)")</f>
        <v xml:space="preserve">   Engins flottants, p.ex. réservoirs, caissons, coffres d'amarrage, bouées et balises (sauf radeaux gonflables, bateaux du n° 8901 à 8906 et engins flottants à dépecer)</v>
      </c>
      <c r="C10337">
        <v>6792524</v>
      </c>
      <c r="D10337">
        <v>3797</v>
      </c>
    </row>
    <row r="10338" spans="1:4" x14ac:dyDescent="0.25">
      <c r="A10338" t="str">
        <f>T("   900652")</f>
        <v xml:space="preserve">   900652</v>
      </c>
      <c r="B10338" t="str">
        <f>T("   Appareils photographiques, pour pellicules en rouleaux d'une largeur &lt; 35 mm (autres que les appareils photographiques à développement et tirage instantanés et que les appareils photographiques pour usages spéciaux du n° 9006.10, 9006.20 ou 9006.30)")</f>
        <v xml:space="preserve">   Appareils photographiques, pour pellicules en rouleaux d'une largeur &lt; 35 mm (autres que les appareils photographiques à développement et tirage instantanés et que les appareils photographiques pour usages spéciaux du n° 9006.10, 9006.20 ou 9006.30)</v>
      </c>
      <c r="C10338">
        <v>11504</v>
      </c>
      <c r="D10338">
        <v>1</v>
      </c>
    </row>
    <row r="10339" spans="1:4" x14ac:dyDescent="0.25">
      <c r="A10339" t="str">
        <f>T("   900659")</f>
        <v xml:space="preserve">   900659</v>
      </c>
      <c r="B10339" t="s">
        <v>490</v>
      </c>
      <c r="C10339">
        <v>41726</v>
      </c>
      <c r="D10339">
        <v>1</v>
      </c>
    </row>
    <row r="10340" spans="1:4" x14ac:dyDescent="0.25">
      <c r="A10340" t="str">
        <f>T("   900911")</f>
        <v xml:space="preserve">   900911</v>
      </c>
      <c r="B10340"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10340">
        <v>750000</v>
      </c>
      <c r="D10340">
        <v>150</v>
      </c>
    </row>
    <row r="10341" spans="1:4" x14ac:dyDescent="0.25">
      <c r="A10341" t="str">
        <f>T("   901580")</f>
        <v xml:space="preserve">   901580</v>
      </c>
      <c r="B10341" t="s">
        <v>493</v>
      </c>
      <c r="C10341">
        <v>4004226</v>
      </c>
      <c r="D10341">
        <v>14</v>
      </c>
    </row>
    <row r="10342" spans="1:4" x14ac:dyDescent="0.25">
      <c r="A10342" t="str">
        <f>T("   901710")</f>
        <v xml:space="preserve">   901710</v>
      </c>
      <c r="B10342" t="str">
        <f>T("   Tables et machines à dessiner, même automatiques (à l'excl. des unités de machines automatiques de traitement de l'information)")</f>
        <v xml:space="preserve">   Tables et machines à dessiner, même automatiques (à l'excl. des unités de machines automatiques de traitement de l'information)</v>
      </c>
      <c r="C10342">
        <v>169211</v>
      </c>
      <c r="D10342">
        <v>1</v>
      </c>
    </row>
    <row r="10343" spans="1:4" x14ac:dyDescent="0.25">
      <c r="A10343" t="str">
        <f>T("   901890")</f>
        <v xml:space="preserve">   901890</v>
      </c>
      <c r="B10343" t="str">
        <f>T("   Instruments et appareils pour la médecine, la chirurgie ou l'art vétérinaire, n.d.a.")</f>
        <v xml:space="preserve">   Instruments et appareils pour la médecine, la chirurgie ou l'art vétérinaire, n.d.a.</v>
      </c>
      <c r="C10343">
        <v>6589100</v>
      </c>
      <c r="D10343">
        <v>335.82</v>
      </c>
    </row>
    <row r="10344" spans="1:4" x14ac:dyDescent="0.25">
      <c r="A10344" t="str">
        <f>T("   902519")</f>
        <v xml:space="preserve">   902519</v>
      </c>
      <c r="B10344"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10344">
        <v>1416652</v>
      </c>
      <c r="D10344">
        <v>200</v>
      </c>
    </row>
    <row r="10345" spans="1:4" x14ac:dyDescent="0.25">
      <c r="A10345" t="str">
        <f>T("   902620")</f>
        <v xml:space="preserve">   902620</v>
      </c>
      <c r="B10345"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10345">
        <v>564608</v>
      </c>
      <c r="D10345">
        <v>35</v>
      </c>
    </row>
    <row r="10346" spans="1:4" x14ac:dyDescent="0.25">
      <c r="A10346" t="str">
        <f>T("   902680")</f>
        <v xml:space="preserve">   902680</v>
      </c>
      <c r="B10346" t="str">
        <f>T("   Instruments et appareils pour la mesure et le contrôle des caractéristiques variables des liquides ou des gaz, n.d.a.")</f>
        <v xml:space="preserve">   Instruments et appareils pour la mesure et le contrôle des caractéristiques variables des liquides ou des gaz, n.d.a.</v>
      </c>
      <c r="C10346">
        <v>11082093</v>
      </c>
      <c r="D10346">
        <v>209</v>
      </c>
    </row>
    <row r="10347" spans="1:4" x14ac:dyDescent="0.25">
      <c r="A10347" t="str">
        <f>T("   902780")</f>
        <v xml:space="preserve">   902780</v>
      </c>
      <c r="B10347"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10347">
        <v>62055184</v>
      </c>
      <c r="D10347">
        <v>2714</v>
      </c>
    </row>
    <row r="10348" spans="1:4" x14ac:dyDescent="0.25">
      <c r="A10348" t="str">
        <f>T("   902910")</f>
        <v xml:space="preserve">   902910</v>
      </c>
      <c r="B10348"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10348">
        <v>1207962</v>
      </c>
      <c r="D10348">
        <v>11</v>
      </c>
    </row>
    <row r="10349" spans="1:4" x14ac:dyDescent="0.25">
      <c r="A10349" t="str">
        <f>T("   903180")</f>
        <v xml:space="preserve">   903180</v>
      </c>
      <c r="B10349" t="str">
        <f>T("   INSTRUMENTS, APPAREILS ET MACHINES DE MESURE OU DE CONTRÔLE, NON-OPTIQUES, N.D.A. DANS LE PRÉSENT CHAPITRE")</f>
        <v xml:space="preserve">   INSTRUMENTS, APPAREILS ET MACHINES DE MESURE OU DE CONTRÔLE, NON-OPTIQUES, N.D.A. DANS LE PRÉSENT CHAPITRE</v>
      </c>
      <c r="C10349">
        <v>723819</v>
      </c>
      <c r="D10349">
        <v>89</v>
      </c>
    </row>
    <row r="10350" spans="1:4" x14ac:dyDescent="0.25">
      <c r="A10350" t="str">
        <f>T("   910529")</f>
        <v xml:space="preserve">   910529</v>
      </c>
      <c r="B10350" t="str">
        <f>T("   Pendules et horloges murales ne fonctionnant pas électriquement")</f>
        <v xml:space="preserve">   Pendules et horloges murales ne fonctionnant pas électriquement</v>
      </c>
      <c r="C10350">
        <v>47935</v>
      </c>
      <c r="D10350">
        <v>25</v>
      </c>
    </row>
    <row r="10351" spans="1:4" x14ac:dyDescent="0.25">
      <c r="A10351" t="str">
        <f>T("   920110")</f>
        <v xml:space="preserve">   920110</v>
      </c>
      <c r="B10351" t="str">
        <f>T("   Pianos droits")</f>
        <v xml:space="preserve">   Pianos droits</v>
      </c>
      <c r="C10351">
        <v>1426066</v>
      </c>
      <c r="D10351">
        <v>255</v>
      </c>
    </row>
    <row r="10352" spans="1:4" x14ac:dyDescent="0.25">
      <c r="A10352" t="str">
        <f>T("   920930")</f>
        <v xml:space="preserve">   920930</v>
      </c>
      <c r="B10352" t="str">
        <f>T("   Cordes harmoniques")</f>
        <v xml:space="preserve">   Cordes harmoniques</v>
      </c>
      <c r="C10352">
        <v>485500</v>
      </c>
      <c r="D10352">
        <v>5</v>
      </c>
    </row>
    <row r="10353" spans="1:4" x14ac:dyDescent="0.25">
      <c r="A10353" t="str">
        <f>T("   940130")</f>
        <v xml:space="preserve">   940130</v>
      </c>
      <c r="B10353"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10353">
        <v>2989608</v>
      </c>
      <c r="D10353">
        <v>450</v>
      </c>
    </row>
    <row r="10354" spans="1:4" x14ac:dyDescent="0.25">
      <c r="A10354" t="str">
        <f>T("   940330")</f>
        <v xml:space="preserve">   940330</v>
      </c>
      <c r="B10354" t="str">
        <f>T("   Meubles de bureau en bois (sauf sièges)")</f>
        <v xml:space="preserve">   Meubles de bureau en bois (sauf sièges)</v>
      </c>
      <c r="C10354">
        <v>1338808</v>
      </c>
      <c r="D10354">
        <v>7117</v>
      </c>
    </row>
    <row r="10355" spans="1:4" x14ac:dyDescent="0.25">
      <c r="A10355" t="str">
        <f>T("   940350")</f>
        <v xml:space="preserve">   940350</v>
      </c>
      <c r="B10355" t="str">
        <f>T("   Meubles pour chambres à coucher, en bois (sauf sièges)")</f>
        <v xml:space="preserve">   Meubles pour chambres à coucher, en bois (sauf sièges)</v>
      </c>
      <c r="C10355">
        <v>6196386</v>
      </c>
      <c r="D10355">
        <v>7215</v>
      </c>
    </row>
    <row r="10356" spans="1:4" x14ac:dyDescent="0.25">
      <c r="A10356" t="str">
        <f>T("   940360")</f>
        <v xml:space="preserve">   940360</v>
      </c>
      <c r="B10356" t="str">
        <f>T("   Meubles en bois (autres que pour bureaux, cuisines ou chambres à coucher et autres que sièges)")</f>
        <v xml:space="preserve">   Meubles en bois (autres que pour bureaux, cuisines ou chambres à coucher et autres que sièges)</v>
      </c>
      <c r="C10356">
        <v>5520631</v>
      </c>
      <c r="D10356">
        <v>8182</v>
      </c>
    </row>
    <row r="10357" spans="1:4" x14ac:dyDescent="0.25">
      <c r="A10357" t="str">
        <f>T("   940370")</f>
        <v xml:space="preserve">   940370</v>
      </c>
      <c r="B10357"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0357">
        <v>167773</v>
      </c>
      <c r="D10357">
        <v>130</v>
      </c>
    </row>
    <row r="10358" spans="1:4" x14ac:dyDescent="0.25">
      <c r="A10358" t="str">
        <f>T("   940380")</f>
        <v xml:space="preserve">   940380</v>
      </c>
      <c r="B10358" t="str">
        <f>T("   Meubles en rotin, osier, bambou ou autres matières (sauf métal, bois et matières plastiques)")</f>
        <v xml:space="preserve">   Meubles en rotin, osier, bambou ou autres matières (sauf métal, bois et matières plastiques)</v>
      </c>
      <c r="C10358">
        <v>30790891</v>
      </c>
      <c r="D10358">
        <v>50565</v>
      </c>
    </row>
    <row r="10359" spans="1:4" x14ac:dyDescent="0.25">
      <c r="A10359" t="str">
        <f>T("   940429")</f>
        <v xml:space="preserve">   940429</v>
      </c>
      <c r="B10359"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0359">
        <v>4639509</v>
      </c>
      <c r="D10359">
        <v>12356</v>
      </c>
    </row>
    <row r="10360" spans="1:4" x14ac:dyDescent="0.25">
      <c r="A10360" t="str">
        <f>T("   940490")</f>
        <v xml:space="preserve">   940490</v>
      </c>
      <c r="B10360" t="s">
        <v>505</v>
      </c>
      <c r="C10360">
        <v>1682705</v>
      </c>
      <c r="D10360">
        <v>1982</v>
      </c>
    </row>
    <row r="10361" spans="1:4" x14ac:dyDescent="0.25">
      <c r="A10361" t="str">
        <f>T("   950100")</f>
        <v xml:space="preserve">   950100</v>
      </c>
      <c r="B10361"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10361">
        <v>58960</v>
      </c>
      <c r="D10361">
        <v>4</v>
      </c>
    </row>
    <row r="10362" spans="1:4" x14ac:dyDescent="0.25">
      <c r="A10362" t="str">
        <f>T("   950390")</f>
        <v xml:space="preserve">   950390</v>
      </c>
      <c r="B10362" t="str">
        <f>T("   Jouets, n.d.a.")</f>
        <v xml:space="preserve">   Jouets, n.d.a.</v>
      </c>
      <c r="C10362">
        <v>831672</v>
      </c>
      <c r="D10362">
        <v>2217</v>
      </c>
    </row>
    <row r="10363" spans="1:4" x14ac:dyDescent="0.25">
      <c r="A10363" t="str">
        <f>T("   950420")</f>
        <v xml:space="preserve">   950420</v>
      </c>
      <c r="B10363" t="str">
        <f>T("   BILLARDS DE TOUT GENRE ET LEURS ACCESSOIRES")</f>
        <v xml:space="preserve">   BILLARDS DE TOUT GENRE ET LEURS ACCESSOIRES</v>
      </c>
      <c r="C10363">
        <v>197900</v>
      </c>
      <c r="D10363">
        <v>5</v>
      </c>
    </row>
    <row r="10364" spans="1:4" x14ac:dyDescent="0.25">
      <c r="A10364" t="str">
        <f>T("   950430")</f>
        <v xml:space="preserve">   950430</v>
      </c>
      <c r="B10364" t="s">
        <v>506</v>
      </c>
      <c r="C10364">
        <v>1635259</v>
      </c>
      <c r="D10364">
        <v>7</v>
      </c>
    </row>
    <row r="10365" spans="1:4" x14ac:dyDescent="0.25">
      <c r="A10365" t="str">
        <f>T("   950590")</f>
        <v xml:space="preserve">   950590</v>
      </c>
      <c r="B10365" t="str">
        <f>T("   Articles pour fêtes, carnaval ou autres divertissements, y.c. les articles de magie et articles-surprises, n.d.a.")</f>
        <v xml:space="preserve">   Articles pour fêtes, carnaval ou autres divertissements, y.c. les articles de magie et articles-surprises, n.d.a.</v>
      </c>
      <c r="C10365">
        <v>287610</v>
      </c>
      <c r="D10365">
        <v>2871</v>
      </c>
    </row>
    <row r="10366" spans="1:4" x14ac:dyDescent="0.25">
      <c r="A10366" t="str">
        <f>T("   950669")</f>
        <v xml:space="preserve">   950669</v>
      </c>
      <c r="B10366" t="str">
        <f>T("   Ballons et balles (autres que gonflables et autres que balles de golf ou de tennis de table)")</f>
        <v xml:space="preserve">   Ballons et balles (autres que gonflables et autres que balles de golf ou de tennis de table)</v>
      </c>
      <c r="C10366">
        <v>47935</v>
      </c>
      <c r="D10366">
        <v>16</v>
      </c>
    </row>
    <row r="10367" spans="1:4" x14ac:dyDescent="0.25">
      <c r="A10367" t="str">
        <f>T("   950699")</f>
        <v xml:space="preserve">   950699</v>
      </c>
      <c r="B10367" t="str">
        <f>T("   Articles et matériel pour le sport et les jeux de plein air, n.d.a.; piscines et pataugeoires")</f>
        <v xml:space="preserve">   Articles et matériel pour le sport et les jeux de plein air, n.d.a.; piscines et pataugeoires</v>
      </c>
      <c r="C10367">
        <v>594350</v>
      </c>
      <c r="D10367">
        <v>177</v>
      </c>
    </row>
    <row r="10368" spans="1:4" x14ac:dyDescent="0.25">
      <c r="A10368" t="str">
        <f>T("   960810")</f>
        <v xml:space="preserve">   960810</v>
      </c>
      <c r="B10368" t="str">
        <f>T("   Stylos et crayons à bille")</f>
        <v xml:space="preserve">   Stylos et crayons à bille</v>
      </c>
      <c r="C10368">
        <v>60398</v>
      </c>
      <c r="D10368">
        <v>26</v>
      </c>
    </row>
    <row r="10369" spans="1:4" x14ac:dyDescent="0.25">
      <c r="A10369" t="str">
        <f>T("   961519")</f>
        <v xml:space="preserve">   961519</v>
      </c>
      <c r="B10369" t="str">
        <f>T("   PEIGNÉS À COIFFER, PEIGNÉS DE COIFFURE, BARRETTES ET ARTICLES SIMIL., EN MATIÈRES (AUTRES QUE CAOUTCHOUC OU MATIÈRES PLASTIQUES)")</f>
        <v xml:space="preserve">   PEIGNÉS À COIFFER, PEIGNÉS DE COIFFURE, BARRETTES ET ARTICLES SIMIL., EN MATIÈRES (AUTRES QUE CAOUTCHOUC OU MATIÈRES PLASTIQUES)</v>
      </c>
      <c r="C10369">
        <v>850780</v>
      </c>
      <c r="D10369">
        <v>15</v>
      </c>
    </row>
    <row r="10370" spans="1:4" x14ac:dyDescent="0.25">
      <c r="A10370" t="str">
        <f>T("   961700")</f>
        <v xml:space="preserve">   961700</v>
      </c>
      <c r="B10370"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10370">
        <v>900094</v>
      </c>
      <c r="D10370">
        <v>5587</v>
      </c>
    </row>
    <row r="10371" spans="1:4" x14ac:dyDescent="0.25">
      <c r="A10371" t="str">
        <f>T("UY")</f>
        <v>UY</v>
      </c>
      <c r="B10371" t="str">
        <f>T("Uruguay")</f>
        <v>Uruguay</v>
      </c>
    </row>
    <row r="10372" spans="1:4" x14ac:dyDescent="0.25">
      <c r="A10372" t="str">
        <f>T("   ZZ_Total_Produit_SH6")</f>
        <v xml:space="preserve">   ZZ_Total_Produit_SH6</v>
      </c>
      <c r="B10372" t="str">
        <f>T("   ZZ_Total_Produit_SH6")</f>
        <v xml:space="preserve">   ZZ_Total_Produit_SH6</v>
      </c>
      <c r="C10372">
        <v>581293454.36000001</v>
      </c>
      <c r="D10372">
        <v>2099590</v>
      </c>
    </row>
    <row r="10373" spans="1:4" x14ac:dyDescent="0.25">
      <c r="A10373" t="str">
        <f>T("   020712")</f>
        <v xml:space="preserve">   020712</v>
      </c>
      <c r="B10373" t="str">
        <f>T("   COQS ET POULES [DES ESPÈCES DOMESTIQUES], NON-DÉCOUPÉS EN MORCEAUX, CONGELÉS")</f>
        <v xml:space="preserve">   COQS ET POULES [DES ESPÈCES DOMESTIQUES], NON-DÉCOUPÉS EN MORCEAUX, CONGELÉS</v>
      </c>
      <c r="C10373">
        <v>15005085</v>
      </c>
      <c r="D10373">
        <v>25000</v>
      </c>
    </row>
    <row r="10374" spans="1:4" x14ac:dyDescent="0.25">
      <c r="A10374" t="str">
        <f>T("   020714")</f>
        <v xml:space="preserve">   020714</v>
      </c>
      <c r="B10374" t="str">
        <f>T("   Morceaux et abats comestibles de coqs et de poules [des espèces domestiques], congelés")</f>
        <v xml:space="preserve">   Morceaux et abats comestibles de coqs et de poules [des espèces domestiques], congelés</v>
      </c>
      <c r="C10374">
        <v>30010170</v>
      </c>
      <c r="D10374">
        <v>52000</v>
      </c>
    </row>
    <row r="10375" spans="1:4" x14ac:dyDescent="0.25">
      <c r="A10375" t="str">
        <f>T("   020727")</f>
        <v xml:space="preserve">   020727</v>
      </c>
      <c r="B10375" t="str">
        <f>T("   Morceaux et abats comestibles de dindes et dindons [des espèces domestiques], congelés")</f>
        <v xml:space="preserve">   Morceaux et abats comestibles de dindes et dindons [des espèces domestiques], congelés</v>
      </c>
      <c r="C10375">
        <v>15005085</v>
      </c>
      <c r="D10375">
        <v>27000</v>
      </c>
    </row>
    <row r="10376" spans="1:4" x14ac:dyDescent="0.25">
      <c r="A10376" t="str">
        <f>T("   030379")</f>
        <v xml:space="preserve">   030379</v>
      </c>
      <c r="B10376" t="s">
        <v>17</v>
      </c>
      <c r="C10376">
        <v>93984468</v>
      </c>
      <c r="D10376">
        <v>473300</v>
      </c>
    </row>
    <row r="10377" spans="1:4" x14ac:dyDescent="0.25">
      <c r="A10377" t="str">
        <f>T("   080810")</f>
        <v xml:space="preserve">   080810</v>
      </c>
      <c r="B10377" t="str">
        <f>T("   Pommes, fraîches")</f>
        <v xml:space="preserve">   Pommes, fraîches</v>
      </c>
      <c r="C10377">
        <v>7000405</v>
      </c>
      <c r="D10377">
        <v>22290</v>
      </c>
    </row>
    <row r="10378" spans="1:4" x14ac:dyDescent="0.25">
      <c r="A10378" t="str">
        <f>T("   100630")</f>
        <v xml:space="preserve">   100630</v>
      </c>
      <c r="B10378" t="str">
        <f>T("   Riz semi-blanchi ou blanchi, même poli ou glacé")</f>
        <v xml:space="preserve">   Riz semi-blanchi ou blanchi, même poli ou glacé</v>
      </c>
      <c r="C10378">
        <v>420288241.36000001</v>
      </c>
      <c r="D10378">
        <v>1500000</v>
      </c>
    </row>
    <row r="10379" spans="1:4" x14ac:dyDescent="0.25">
      <c r="A10379" t="str">
        <f>T("VN")</f>
        <v>VN</v>
      </c>
      <c r="B10379" t="str">
        <f>T("Vietnam")</f>
        <v>Vietnam</v>
      </c>
    </row>
    <row r="10380" spans="1:4" x14ac:dyDescent="0.25">
      <c r="A10380" t="str">
        <f>T("   ZZ_Total_Produit_SH6")</f>
        <v xml:space="preserve">   ZZ_Total_Produit_SH6</v>
      </c>
      <c r="B10380" t="str">
        <f>T("   ZZ_Total_Produit_SH6")</f>
        <v xml:space="preserve">   ZZ_Total_Produit_SH6</v>
      </c>
      <c r="C10380">
        <v>2772003232.441</v>
      </c>
      <c r="D10380">
        <v>9775723</v>
      </c>
    </row>
    <row r="10381" spans="1:4" x14ac:dyDescent="0.25">
      <c r="A10381" t="str">
        <f>T("   030379")</f>
        <v xml:space="preserve">   030379</v>
      </c>
      <c r="B10381" t="s">
        <v>17</v>
      </c>
      <c r="C10381">
        <v>3949535</v>
      </c>
      <c r="D10381">
        <v>22960</v>
      </c>
    </row>
    <row r="10382" spans="1:4" x14ac:dyDescent="0.25">
      <c r="A10382" t="str">
        <f>T("   100630")</f>
        <v xml:space="preserve">   100630</v>
      </c>
      <c r="B10382" t="str">
        <f>T("   Riz semi-blanchi ou blanchi, même poli ou glacé")</f>
        <v xml:space="preserve">   Riz semi-blanchi ou blanchi, même poli ou glacé</v>
      </c>
      <c r="C10382">
        <v>2339090412.441</v>
      </c>
      <c r="D10382">
        <v>8330644</v>
      </c>
    </row>
    <row r="10383" spans="1:4" x14ac:dyDescent="0.25">
      <c r="A10383" t="str">
        <f>T("   190531")</f>
        <v xml:space="preserve">   190531</v>
      </c>
      <c r="B10383" t="str">
        <f>T("   Biscuits additionnés d'édulcorants")</f>
        <v xml:space="preserve">   Biscuits additionnés d'édulcorants</v>
      </c>
      <c r="C10383">
        <v>39311974</v>
      </c>
      <c r="D10383">
        <v>43163</v>
      </c>
    </row>
    <row r="10384" spans="1:4" x14ac:dyDescent="0.25">
      <c r="A10384" t="str">
        <f>T("   190532")</f>
        <v xml:space="preserve">   190532</v>
      </c>
      <c r="B10384" t="str">
        <f>T("   GAUFRES ET GAUFRETTES")</f>
        <v xml:space="preserve">   GAUFRES ET GAUFRETTES</v>
      </c>
      <c r="C10384">
        <v>1936575</v>
      </c>
      <c r="D10384">
        <v>3020</v>
      </c>
    </row>
    <row r="10385" spans="1:4" x14ac:dyDescent="0.25">
      <c r="A10385" t="str">
        <f>T("   190590")</f>
        <v xml:space="preserve">   190590</v>
      </c>
      <c r="B10385" t="s">
        <v>52</v>
      </c>
      <c r="C10385">
        <v>7272699</v>
      </c>
      <c r="D10385">
        <v>8062</v>
      </c>
    </row>
    <row r="10386" spans="1:4" x14ac:dyDescent="0.25">
      <c r="A10386" t="str">
        <f>T("   210420")</f>
        <v xml:space="preserve">   210420</v>
      </c>
      <c r="B10386" t="s">
        <v>60</v>
      </c>
      <c r="C10386">
        <v>100361</v>
      </c>
      <c r="D10386">
        <v>94</v>
      </c>
    </row>
    <row r="10387" spans="1:4" x14ac:dyDescent="0.25">
      <c r="A10387" t="str">
        <f>T("   610910")</f>
        <v xml:space="preserve">   610910</v>
      </c>
      <c r="B10387" t="str">
        <f>T("   T-shirts et maillots de corps, en bonneterie, de coton,")</f>
        <v xml:space="preserve">   T-shirts et maillots de corps, en bonneterie, de coton,</v>
      </c>
      <c r="C10387">
        <v>7000406</v>
      </c>
      <c r="D10387">
        <v>14400</v>
      </c>
    </row>
    <row r="10388" spans="1:4" x14ac:dyDescent="0.25">
      <c r="A10388" t="str">
        <f>T("   620590")</f>
        <v xml:space="preserve">   620590</v>
      </c>
      <c r="B1038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388">
        <v>886798</v>
      </c>
      <c r="D10388">
        <v>1000</v>
      </c>
    </row>
    <row r="10389" spans="1:4" x14ac:dyDescent="0.25">
      <c r="A10389" t="str">
        <f>T("   630533")</f>
        <v xml:space="preserve">   630533</v>
      </c>
      <c r="B10389"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0389">
        <v>34577</v>
      </c>
      <c r="D10389">
        <v>1900</v>
      </c>
    </row>
    <row r="10390" spans="1:4" x14ac:dyDescent="0.25">
      <c r="A10390" t="str">
        <f>T("   681019")</f>
        <v xml:space="preserve">   681019</v>
      </c>
      <c r="B10390"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10390">
        <v>73202015</v>
      </c>
      <c r="D10390">
        <v>800110</v>
      </c>
    </row>
    <row r="10391" spans="1:4" x14ac:dyDescent="0.25">
      <c r="A10391" t="str">
        <f>T("   681110")</f>
        <v xml:space="preserve">   681110</v>
      </c>
      <c r="B10391" t="str">
        <f>T("   Plaques ondulées en amiante-ciment, cellulose-ciment ou simil.")</f>
        <v xml:space="preserve">   Plaques ondulées en amiante-ciment, cellulose-ciment ou simil.</v>
      </c>
      <c r="C10391">
        <v>12020000</v>
      </c>
      <c r="D10391">
        <v>137500</v>
      </c>
    </row>
    <row r="10392" spans="1:4" x14ac:dyDescent="0.25">
      <c r="A10392" t="str">
        <f>T("   721049")</f>
        <v xml:space="preserve">   721049</v>
      </c>
      <c r="B10392"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10392">
        <v>234440187</v>
      </c>
      <c r="D10392">
        <v>362590</v>
      </c>
    </row>
    <row r="10393" spans="1:4" x14ac:dyDescent="0.25">
      <c r="A10393" t="str">
        <f>T("   732394")</f>
        <v xml:space="preserve">   732394</v>
      </c>
      <c r="B10393" t="s">
        <v>362</v>
      </c>
      <c r="C10393">
        <v>1917400</v>
      </c>
      <c r="D10393">
        <v>1500</v>
      </c>
    </row>
    <row r="10394" spans="1:4" x14ac:dyDescent="0.25">
      <c r="A10394" t="str">
        <f>T("   841510")</f>
        <v xml:space="preserve">   841510</v>
      </c>
      <c r="B10394" t="s">
        <v>400</v>
      </c>
      <c r="C10394">
        <v>1384224</v>
      </c>
      <c r="D10394">
        <v>778</v>
      </c>
    </row>
    <row r="10395" spans="1:4" x14ac:dyDescent="0.25">
      <c r="A10395" t="str">
        <f>T("   846799")</f>
        <v xml:space="preserve">   846799</v>
      </c>
      <c r="B10395" t="str">
        <f>T("   Parties d'outils pour emploi à la main, hydrauliques ou à moteur électrique ou non électrique incorporé, n.d.a.")</f>
        <v xml:space="preserve">   Parties d'outils pour emploi à la main, hydrauliques ou à moteur électrique ou non électrique incorporé, n.d.a.</v>
      </c>
      <c r="C10395">
        <v>9891387</v>
      </c>
      <c r="D10395">
        <v>2860</v>
      </c>
    </row>
    <row r="10396" spans="1:4" x14ac:dyDescent="0.25">
      <c r="A10396" t="str">
        <f>T("   852190")</f>
        <v xml:space="preserve">   852190</v>
      </c>
      <c r="B10396" t="s">
        <v>457</v>
      </c>
      <c r="C10396">
        <v>876089</v>
      </c>
      <c r="D10396">
        <v>4318</v>
      </c>
    </row>
    <row r="10397" spans="1:4" x14ac:dyDescent="0.25">
      <c r="A10397" t="str">
        <f>T("   852812")</f>
        <v xml:space="preserve">   852812</v>
      </c>
      <c r="B10397"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397">
        <v>34781890</v>
      </c>
      <c r="D10397">
        <v>37344</v>
      </c>
    </row>
    <row r="10398" spans="1:4" x14ac:dyDescent="0.25">
      <c r="A10398" t="str">
        <f>T("   940350")</f>
        <v xml:space="preserve">   940350</v>
      </c>
      <c r="B10398" t="str">
        <f>T("   Meubles pour chambres à coucher, en bois (sauf sièges)")</f>
        <v xml:space="preserve">   Meubles pour chambres à coucher, en bois (sauf sièges)</v>
      </c>
      <c r="C10398">
        <v>3494462</v>
      </c>
      <c r="D10398">
        <v>3000</v>
      </c>
    </row>
    <row r="10399" spans="1:4" x14ac:dyDescent="0.25">
      <c r="A10399" t="str">
        <f>T("   950299")</f>
        <v xml:space="preserve">   950299</v>
      </c>
      <c r="B10399" t="str">
        <f>T("   Parties et accessoires pour poupées représentant uniquement l'être humain, n.d.a.")</f>
        <v xml:space="preserve">   Parties et accessoires pour poupées représentant uniquement l'être humain, n.d.a.</v>
      </c>
      <c r="C10399">
        <v>412241</v>
      </c>
      <c r="D10399">
        <v>480</v>
      </c>
    </row>
    <row r="10400" spans="1:4" x14ac:dyDescent="0.25">
      <c r="A10400" t="str">
        <f>T("YE")</f>
        <v>YE</v>
      </c>
      <c r="B10400" t="str">
        <f>T("Yémen")</f>
        <v>Yémen</v>
      </c>
    </row>
    <row r="10401" spans="1:4" x14ac:dyDescent="0.25">
      <c r="A10401" t="str">
        <f>T("   ZZ_Total_Produit_SH6")</f>
        <v xml:space="preserve">   ZZ_Total_Produit_SH6</v>
      </c>
      <c r="B10401" t="str">
        <f>T("   ZZ_Total_Produit_SH6")</f>
        <v xml:space="preserve">   ZZ_Total_Produit_SH6</v>
      </c>
      <c r="C10401">
        <v>19596215</v>
      </c>
      <c r="D10401">
        <v>85710</v>
      </c>
    </row>
    <row r="10402" spans="1:4" x14ac:dyDescent="0.25">
      <c r="A10402" t="str">
        <f>T("   271019")</f>
        <v xml:space="preserve">   271019</v>
      </c>
      <c r="B10402" t="str">
        <f>T("   Huiles moyennes et préparations, de pétrole ou de minéraux bitumineux, n.d.a.")</f>
        <v xml:space="preserve">   Huiles moyennes et préparations, de pétrole ou de minéraux bitumineux, n.d.a.</v>
      </c>
      <c r="C10402">
        <v>14087502</v>
      </c>
      <c r="D10402">
        <v>69820</v>
      </c>
    </row>
    <row r="10403" spans="1:4" x14ac:dyDescent="0.25">
      <c r="A10403" t="str">
        <f>T("   381900")</f>
        <v xml:space="preserve">   381900</v>
      </c>
      <c r="B10403"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10403">
        <v>5508713</v>
      </c>
      <c r="D10403">
        <v>15890</v>
      </c>
    </row>
    <row r="10404" spans="1:4" x14ac:dyDescent="0.25">
      <c r="A10404" t="str">
        <f>T("YU")</f>
        <v>YU</v>
      </c>
      <c r="B10404" t="str">
        <f>T("Yougoslavie")</f>
        <v>Yougoslavie</v>
      </c>
    </row>
    <row r="10405" spans="1:4" x14ac:dyDescent="0.25">
      <c r="A10405" t="str">
        <f>T("   ZZ_Total_Produit_SH6")</f>
        <v xml:space="preserve">   ZZ_Total_Produit_SH6</v>
      </c>
      <c r="B10405" t="str">
        <f>T("   ZZ_Total_Produit_SH6")</f>
        <v xml:space="preserve">   ZZ_Total_Produit_SH6</v>
      </c>
      <c r="C10405">
        <v>21691286</v>
      </c>
      <c r="D10405">
        <v>16000</v>
      </c>
    </row>
    <row r="10406" spans="1:4" x14ac:dyDescent="0.25">
      <c r="A10406" t="str">
        <f>T("   390750")</f>
        <v xml:space="preserve">   390750</v>
      </c>
      <c r="B10406" t="str">
        <f>T("   Résines alkydes, sous formes primaires")</f>
        <v xml:space="preserve">   Résines alkydes, sous formes primaires</v>
      </c>
      <c r="C10406">
        <v>21691286</v>
      </c>
      <c r="D10406">
        <v>16000</v>
      </c>
    </row>
    <row r="10407" spans="1:4" x14ac:dyDescent="0.25">
      <c r="A10407" t="str">
        <f>T("Z2")</f>
        <v>Z2</v>
      </c>
      <c r="B10407" t="str">
        <f>T("Pays non défini")</f>
        <v>Pays non défini</v>
      </c>
    </row>
    <row r="10408" spans="1:4" x14ac:dyDescent="0.25">
      <c r="A10408" t="str">
        <f>T("   ZZ_Total_Produit_SH6")</f>
        <v xml:space="preserve">   ZZ_Total_Produit_SH6</v>
      </c>
      <c r="B10408" t="str">
        <f>T("   ZZ_Total_Produit_SH6")</f>
        <v xml:space="preserve">   ZZ_Total_Produit_SH6</v>
      </c>
      <c r="C10408">
        <v>1215597893.664</v>
      </c>
      <c r="D10408">
        <v>9829537</v>
      </c>
    </row>
    <row r="10409" spans="1:4" x14ac:dyDescent="0.25">
      <c r="A10409" t="str">
        <f>T("   010110")</f>
        <v xml:space="preserve">   010110</v>
      </c>
      <c r="B10409" t="str">
        <f>T("   Chevaux et ânes, reproducteurs de race pure")</f>
        <v xml:space="preserve">   Chevaux et ânes, reproducteurs de race pure</v>
      </c>
      <c r="C10409">
        <v>6058102</v>
      </c>
      <c r="D10409">
        <v>26900</v>
      </c>
    </row>
    <row r="10410" spans="1:4" x14ac:dyDescent="0.25">
      <c r="A10410" t="str">
        <f>T("   010190")</f>
        <v xml:space="preserve">   010190</v>
      </c>
      <c r="B10410" t="str">
        <f>T("   Chevaux, ânes, mulets et bardots, vivants (à l'excl. des animaux reproducteurs de race pure)")</f>
        <v xml:space="preserve">   Chevaux, ânes, mulets et bardots, vivants (à l'excl. des animaux reproducteurs de race pure)</v>
      </c>
      <c r="C10410">
        <v>630000</v>
      </c>
      <c r="D10410">
        <v>4700</v>
      </c>
    </row>
    <row r="10411" spans="1:4" x14ac:dyDescent="0.25">
      <c r="A10411" t="str">
        <f>T("   010290")</f>
        <v xml:space="preserve">   010290</v>
      </c>
      <c r="B10411" t="str">
        <f>T("   Bovins vivants (à l'excl. des animaux reproducteurs de race pure)")</f>
        <v xml:space="preserve">   Bovins vivants (à l'excl. des animaux reproducteurs de race pure)</v>
      </c>
      <c r="C10411">
        <v>2691300</v>
      </c>
      <c r="D10411">
        <v>104649</v>
      </c>
    </row>
    <row r="10412" spans="1:4" x14ac:dyDescent="0.25">
      <c r="A10412" t="str">
        <f>T("   010410")</f>
        <v xml:space="preserve">   010410</v>
      </c>
      <c r="B10412" t="str">
        <f>T("   Ovins, vivants")</f>
        <v xml:space="preserve">   Ovins, vivants</v>
      </c>
      <c r="C10412">
        <v>1095000</v>
      </c>
      <c r="D10412">
        <v>1000</v>
      </c>
    </row>
    <row r="10413" spans="1:4" x14ac:dyDescent="0.25">
      <c r="A10413" t="str">
        <f>T("   010511")</f>
        <v xml:space="preserve">   010511</v>
      </c>
      <c r="B10413" t="str">
        <f>T("   Coqs et poules [des espèces domestiques], vivants, d'un poids &lt;= 185 g")</f>
        <v xml:space="preserve">   Coqs et poules [des espèces domestiques], vivants, d'un poids &lt;= 185 g</v>
      </c>
      <c r="C10413">
        <v>1738000</v>
      </c>
      <c r="D10413">
        <v>22040</v>
      </c>
    </row>
    <row r="10414" spans="1:4" x14ac:dyDescent="0.25">
      <c r="A10414" t="str">
        <f>T("   020810")</f>
        <v xml:space="preserve">   020810</v>
      </c>
      <c r="B10414" t="str">
        <f>T("   Viandes et abats comestibles de lapins ou de lièvres, frais, réfrigérés ou congelés")</f>
        <v xml:space="preserve">   Viandes et abats comestibles de lapins ou de lièvres, frais, réfrigérés ou congelés</v>
      </c>
      <c r="C10414">
        <v>3025000</v>
      </c>
      <c r="D10414">
        <v>2440</v>
      </c>
    </row>
    <row r="10415" spans="1:4" x14ac:dyDescent="0.25">
      <c r="A10415" t="str">
        <f>T("   030219")</f>
        <v xml:space="preserve">   030219</v>
      </c>
      <c r="B10415" t="str">
        <f>T("   Salmonidés, frais ou réfrigérés (à l'excl. des truites et des saumons du Pacifique, de l'Atlantique et du Danube)")</f>
        <v xml:space="preserve">   Salmonidés, frais ou réfrigérés (à l'excl. des truites et des saumons du Pacifique, de l'Atlantique et du Danube)</v>
      </c>
      <c r="C10415">
        <v>22142000</v>
      </c>
      <c r="D10415">
        <v>135400</v>
      </c>
    </row>
    <row r="10416" spans="1:4" x14ac:dyDescent="0.25">
      <c r="A10416" t="str">
        <f>T("   040299")</f>
        <v xml:space="preserve">   040299</v>
      </c>
      <c r="B10416"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10416">
        <v>50000</v>
      </c>
      <c r="D10416">
        <v>214</v>
      </c>
    </row>
    <row r="10417" spans="1:4" x14ac:dyDescent="0.25">
      <c r="A10417" t="str">
        <f>T("   070200")</f>
        <v xml:space="preserve">   070200</v>
      </c>
      <c r="B10417" t="str">
        <f>T("   Tomates, à l'état frais ou réfrigéré")</f>
        <v xml:space="preserve">   Tomates, à l'état frais ou réfrigéré</v>
      </c>
      <c r="C10417">
        <v>1847000</v>
      </c>
      <c r="D10417">
        <v>10000</v>
      </c>
    </row>
    <row r="10418" spans="1:4" x14ac:dyDescent="0.25">
      <c r="A10418" t="str">
        <f>T("   080810")</f>
        <v xml:space="preserve">   080810</v>
      </c>
      <c r="B10418" t="str">
        <f>T("   Pommes, fraîches")</f>
        <v xml:space="preserve">   Pommes, fraîches</v>
      </c>
      <c r="C10418">
        <v>457000</v>
      </c>
      <c r="D10418">
        <v>29000</v>
      </c>
    </row>
    <row r="10419" spans="1:4" x14ac:dyDescent="0.25">
      <c r="A10419" t="str">
        <f>T("   100610")</f>
        <v xml:space="preserve">   100610</v>
      </c>
      <c r="B10419" t="str">
        <f>T("   Riz en paille [riz paddy]")</f>
        <v xml:space="preserve">   Riz en paille [riz paddy]</v>
      </c>
      <c r="C10419">
        <v>105000</v>
      </c>
      <c r="D10419">
        <v>800</v>
      </c>
    </row>
    <row r="10420" spans="1:4" x14ac:dyDescent="0.25">
      <c r="A10420" t="str">
        <f>T("   100620")</f>
        <v xml:space="preserve">   100620</v>
      </c>
      <c r="B10420" t="str">
        <f>T("   Riz décortiqué [riz cargo ou riz brun]")</f>
        <v xml:space="preserve">   Riz décortiqué [riz cargo ou riz brun]</v>
      </c>
      <c r="C10420">
        <v>14402993.726</v>
      </c>
      <c r="D10420">
        <v>21500</v>
      </c>
    </row>
    <row r="10421" spans="1:4" x14ac:dyDescent="0.25">
      <c r="A10421" t="str">
        <f>T("   100640")</f>
        <v xml:space="preserve">   100640</v>
      </c>
      <c r="B10421" t="str">
        <f>T("   Riz en brisures")</f>
        <v xml:space="preserve">   Riz en brisures</v>
      </c>
      <c r="C10421">
        <v>841652.93799999997</v>
      </c>
      <c r="D10421">
        <v>4102</v>
      </c>
    </row>
    <row r="10422" spans="1:4" x14ac:dyDescent="0.25">
      <c r="A10422" t="str">
        <f>T("   190510")</f>
        <v xml:space="preserve">   190510</v>
      </c>
      <c r="B10422" t="str">
        <f>T("   PAIN CROUSTILLANT DIT KNÕCKEBROT")</f>
        <v xml:space="preserve">   PAIN CROUSTILLANT DIT KNÕCKEBROT</v>
      </c>
      <c r="C10422">
        <v>3120000</v>
      </c>
      <c r="D10422">
        <v>3932</v>
      </c>
    </row>
    <row r="10423" spans="1:4" x14ac:dyDescent="0.25">
      <c r="A10423" t="str">
        <f>T("   200970")</f>
        <v xml:space="preserve">   200970</v>
      </c>
      <c r="B10423" t="str">
        <f>T("   JUS DE POMME, NON FERMENTES, SANS ADDITION D'ALCOOL, AVEC OU SANS ADDITION DE SUCRE OU D'AUTRES EDULCORANTS")</f>
        <v xml:space="preserve">   JUS DE POMME, NON FERMENTES, SANS ADDITION D'ALCOOL, AVEC OU SANS ADDITION DE SUCRE OU D'AUTRES EDULCORANTS</v>
      </c>
      <c r="C10423">
        <v>5374000</v>
      </c>
      <c r="D10423">
        <v>176762</v>
      </c>
    </row>
    <row r="10424" spans="1:4" x14ac:dyDescent="0.25">
      <c r="A10424" t="str">
        <f>T("   200990")</f>
        <v xml:space="preserve">   200990</v>
      </c>
      <c r="B10424"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424">
        <v>1341000</v>
      </c>
      <c r="D10424">
        <v>2000</v>
      </c>
    </row>
    <row r="10425" spans="1:4" x14ac:dyDescent="0.25">
      <c r="A10425" t="str">
        <f>T("   210120")</f>
        <v xml:space="preserve">   210120</v>
      </c>
      <c r="B10425" t="str">
        <f>T("   Extraits, essences et concentrés de thé ou de maté et préparations à base de ces extraits, essences et concentrés ou à base de thé ou de maté")</f>
        <v xml:space="preserve">   Extraits, essences et concentrés de thé ou de maté et préparations à base de ces extraits, essences et concentrés ou à base de thé ou de maté</v>
      </c>
      <c r="C10425">
        <v>750000</v>
      </c>
      <c r="D10425">
        <v>2000</v>
      </c>
    </row>
    <row r="10426" spans="1:4" x14ac:dyDescent="0.25">
      <c r="A10426" t="str">
        <f>T("   220410")</f>
        <v xml:space="preserve">   220410</v>
      </c>
      <c r="B10426" t="str">
        <f>T("   Vins mousseux produits à partir de raisins frais")</f>
        <v xml:space="preserve">   Vins mousseux produits à partir de raisins frais</v>
      </c>
      <c r="C10426">
        <v>8621000</v>
      </c>
      <c r="D10426">
        <v>163064</v>
      </c>
    </row>
    <row r="10427" spans="1:4" x14ac:dyDescent="0.25">
      <c r="A10427" t="str">
        <f>T("   220421")</f>
        <v xml:space="preserve">   220421</v>
      </c>
      <c r="B10427"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0427">
        <v>2306000</v>
      </c>
      <c r="D10427">
        <v>3600</v>
      </c>
    </row>
    <row r="10428" spans="1:4" x14ac:dyDescent="0.25">
      <c r="A10428" t="str">
        <f>T("   220429")</f>
        <v xml:space="preserve">   220429</v>
      </c>
      <c r="B10428"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0428">
        <v>1469556</v>
      </c>
      <c r="D10428">
        <v>12701</v>
      </c>
    </row>
    <row r="10429" spans="1:4" x14ac:dyDescent="0.25">
      <c r="A10429" t="str">
        <f>T("   250100")</f>
        <v xml:space="preserve">   250100</v>
      </c>
      <c r="B10429" t="s">
        <v>65</v>
      </c>
      <c r="C10429">
        <v>1977000</v>
      </c>
      <c r="D10429">
        <v>56180</v>
      </c>
    </row>
    <row r="10430" spans="1:4" x14ac:dyDescent="0.25">
      <c r="A10430" t="str">
        <f>T("   271000")</f>
        <v xml:space="preserve">   271000</v>
      </c>
      <c r="B10430" t="str">
        <f>T("   HUILES DE PETROLE OU DE MINERAUX BITUMINEUX (AUTRES QUE LES HUILES BRUTES); PRÉPARATIONS N.D.A. CONTENANT EN POIDS &gt;= 70% D'HUILES DE PETROLE OU DE MINERAUX BITUMINEUX ET DONT CES HUILES CONSTITUENT L'ELEMENT DE BASE")</f>
        <v xml:space="preserve">   HUILES DE PETROLE OU DE MINERAUX BITUMINEUX (AUTRES QUE LES HUILES BRUTES); PRÉPARATIONS N.D.A. CONTENANT EN POIDS &gt;= 70% D'HUILES DE PETROLE OU DE MINERAUX BITUMINEUX ET DONT CES HUILES CONSTITUENT L'ELEMENT DE BASE</v>
      </c>
      <c r="C10430">
        <v>2400000</v>
      </c>
      <c r="D10430">
        <v>30243</v>
      </c>
    </row>
    <row r="10431" spans="1:4" x14ac:dyDescent="0.25">
      <c r="A10431" t="str">
        <f>T("   281511")</f>
        <v xml:space="preserve">   281511</v>
      </c>
      <c r="B10431" t="str">
        <f>T("   Hydroxyde de sodium [soude caustique], solide")</f>
        <v xml:space="preserve">   Hydroxyde de sodium [soude caustique], solide</v>
      </c>
      <c r="C10431">
        <v>8583000</v>
      </c>
      <c r="D10431">
        <v>10000</v>
      </c>
    </row>
    <row r="10432" spans="1:4" x14ac:dyDescent="0.25">
      <c r="A10432" t="str">
        <f>T("   281520")</f>
        <v xml:space="preserve">   281520</v>
      </c>
      <c r="B10432" t="str">
        <f>T("   Hydroxyde de potassium [potasse caustique]")</f>
        <v xml:space="preserve">   Hydroxyde de potassium [potasse caustique]</v>
      </c>
      <c r="C10432">
        <v>580000</v>
      </c>
      <c r="D10432">
        <v>2000</v>
      </c>
    </row>
    <row r="10433" spans="1:4" x14ac:dyDescent="0.25">
      <c r="A10433" t="str">
        <f>T("   284190")</f>
        <v xml:space="preserve">   284190</v>
      </c>
      <c r="B10433" t="str">
        <f>T("   SELS DES ACIDES OXOMÉTALLIQUES OU PEROXOMÉTALLIQUES (À L'EXCL. DES CHROMATES, DES DICHROMATES, DES PEROXOCHROMATES, DES MANGANITES, DES MANGANATES, DES PERMANGANATES, DES MOLYBDATES ET DES TUNGSTATES [WOLFRAMATES])")</f>
        <v xml:space="preserve">   SELS DES ACIDES OXOMÉTALLIQUES OU PEROXOMÉTALLIQUES (À L'EXCL. DES CHROMATES, DES DICHROMATES, DES PEROXOCHROMATES, DES MANGANITES, DES MANGANATES, DES PERMANGANATES, DES MOLYBDATES ET DES TUNGSTATES [WOLFRAMATES])</v>
      </c>
      <c r="C10433">
        <v>1187700</v>
      </c>
      <c r="D10433">
        <v>127200</v>
      </c>
    </row>
    <row r="10434" spans="1:4" x14ac:dyDescent="0.25">
      <c r="A10434" t="str">
        <f>T("   300339")</f>
        <v xml:space="preserve">   300339</v>
      </c>
      <c r="B10434"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10434">
        <v>118290</v>
      </c>
      <c r="D10434">
        <v>94</v>
      </c>
    </row>
    <row r="10435" spans="1:4" x14ac:dyDescent="0.25">
      <c r="A10435" t="str">
        <f>T("   310590")</f>
        <v xml:space="preserve">   310590</v>
      </c>
      <c r="B10435" t="s">
        <v>83</v>
      </c>
      <c r="C10435">
        <v>35000</v>
      </c>
      <c r="D10435">
        <v>800</v>
      </c>
    </row>
    <row r="10436" spans="1:4" x14ac:dyDescent="0.25">
      <c r="A10436" t="str">
        <f>T("   370790")</f>
        <v xml:space="preserve">   370790</v>
      </c>
      <c r="B10436" t="s">
        <v>115</v>
      </c>
      <c r="C10436">
        <v>3235000</v>
      </c>
      <c r="D10436">
        <v>95862</v>
      </c>
    </row>
    <row r="10437" spans="1:4" x14ac:dyDescent="0.25">
      <c r="A10437" t="str">
        <f>T("   380810")</f>
        <v xml:space="preserve">   380810</v>
      </c>
      <c r="B10437"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0437">
        <v>965000</v>
      </c>
      <c r="D10437">
        <v>3000</v>
      </c>
    </row>
    <row r="10438" spans="1:4" x14ac:dyDescent="0.25">
      <c r="A10438" t="str">
        <f>T("   381600")</f>
        <v xml:space="preserve">   381600</v>
      </c>
      <c r="B10438"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10438">
        <v>9253935</v>
      </c>
      <c r="D10438">
        <v>10000</v>
      </c>
    </row>
    <row r="10439" spans="1:4" x14ac:dyDescent="0.25">
      <c r="A10439" t="str">
        <f>T("   390799")</f>
        <v xml:space="preserve">   390799</v>
      </c>
      <c r="B10439"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10439">
        <v>910000</v>
      </c>
      <c r="D10439">
        <v>2000</v>
      </c>
    </row>
    <row r="10440" spans="1:4" x14ac:dyDescent="0.25">
      <c r="A10440" t="str">
        <f>T("   392640")</f>
        <v xml:space="preserve">   392640</v>
      </c>
      <c r="B10440" t="str">
        <f>T("   Statuettes et autres objets d'ornementation, en matières plastiques")</f>
        <v xml:space="preserve">   Statuettes et autres objets d'ornementation, en matières plastiques</v>
      </c>
      <c r="C10440">
        <v>1385000</v>
      </c>
      <c r="D10440">
        <v>6897</v>
      </c>
    </row>
    <row r="10441" spans="1:4" x14ac:dyDescent="0.25">
      <c r="A10441" t="str">
        <f>T("   401110")</f>
        <v xml:space="preserve">   401110</v>
      </c>
      <c r="B10441"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441">
        <v>1371434</v>
      </c>
      <c r="D10441">
        <v>108000</v>
      </c>
    </row>
    <row r="10442" spans="1:4" x14ac:dyDescent="0.25">
      <c r="A10442" t="str">
        <f>T("   401120")</f>
        <v xml:space="preserve">   401120</v>
      </c>
      <c r="B10442"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0442">
        <v>2461750</v>
      </c>
      <c r="D10442">
        <v>19100</v>
      </c>
    </row>
    <row r="10443" spans="1:4" x14ac:dyDescent="0.25">
      <c r="A10443" t="str">
        <f>T("   401150")</f>
        <v xml:space="preserve">   401150</v>
      </c>
      <c r="B10443" t="str">
        <f>T("   Pneumatiques neufs, en caoutchouc, des types utilisés pour les bicyclettes")</f>
        <v xml:space="preserve">   Pneumatiques neufs, en caoutchouc, des types utilisés pour les bicyclettes</v>
      </c>
      <c r="C10443">
        <v>1841000</v>
      </c>
      <c r="D10443">
        <v>12701</v>
      </c>
    </row>
    <row r="10444" spans="1:4" x14ac:dyDescent="0.25">
      <c r="A10444" t="str">
        <f>T("   401199")</f>
        <v xml:space="preserve">   401199</v>
      </c>
      <c r="B10444" t="s">
        <v>152</v>
      </c>
      <c r="C10444">
        <v>1378000</v>
      </c>
      <c r="D10444">
        <v>1502</v>
      </c>
    </row>
    <row r="10445" spans="1:4" x14ac:dyDescent="0.25">
      <c r="A10445" t="str">
        <f>T("   401210")</f>
        <v xml:space="preserve">   401210</v>
      </c>
      <c r="B10445" t="str">
        <f>T("   PNEUMATIQUES RECHAPES, EN CAOUTCHOUC")</f>
        <v xml:space="preserve">   PNEUMATIQUES RECHAPES, EN CAOUTCHOUC</v>
      </c>
      <c r="C10445">
        <v>95000</v>
      </c>
      <c r="D10445">
        <v>6000</v>
      </c>
    </row>
    <row r="10446" spans="1:4" x14ac:dyDescent="0.25">
      <c r="A10446" t="str">
        <f>T("   401699")</f>
        <v xml:space="preserve">   401699</v>
      </c>
      <c r="B10446" t="str">
        <f>T("   OUVRAGES EN CAOUTCHOUC VULCANISÉ NON-DURCI, N.D.A.")</f>
        <v xml:space="preserve">   OUVRAGES EN CAOUTCHOUC VULCANISÉ NON-DURCI, N.D.A.</v>
      </c>
      <c r="C10446">
        <v>410000</v>
      </c>
      <c r="D10446">
        <v>111</v>
      </c>
    </row>
    <row r="10447" spans="1:4" x14ac:dyDescent="0.25">
      <c r="A10447" t="str">
        <f>T("   410729")</f>
        <v xml:space="preserve">   410729</v>
      </c>
      <c r="B10447" t="str">
        <f>T("   PEAUX DE REPTILES (À L'EXCL. DES PEAUX A PRETANNAGE VEGETAL AINSI QUE DES PEAUX CHAMOISEES, VERNIES, PLAQUÉES OU METALLISEES)")</f>
        <v xml:space="preserve">   PEAUX DE REPTILES (À L'EXCL. DES PEAUX A PRETANNAGE VEGETAL AINSI QUE DES PEAUX CHAMOISEES, VERNIES, PLAQUÉES OU METALLISEES)</v>
      </c>
      <c r="C10447">
        <v>1200000</v>
      </c>
      <c r="D10447">
        <v>31000</v>
      </c>
    </row>
    <row r="10448" spans="1:4" x14ac:dyDescent="0.25">
      <c r="A10448" t="str">
        <f>T("   420610")</f>
        <v xml:space="preserve">   420610</v>
      </c>
      <c r="B10448" t="str">
        <f>T("   Cordes en boyaux (à l'excl. des cordes harmoniques ainsi que des catguts et ligatures stériles simil. pour sutures chirurgicales)")</f>
        <v xml:space="preserve">   Cordes en boyaux (à l'excl. des cordes harmoniques ainsi que des catguts et ligatures stériles simil. pour sutures chirurgicales)</v>
      </c>
      <c r="C10448">
        <v>342000</v>
      </c>
      <c r="D10448">
        <v>102</v>
      </c>
    </row>
    <row r="10449" spans="1:4" x14ac:dyDescent="0.25">
      <c r="A10449" t="str">
        <f>T("   442090")</f>
        <v xml:space="preserve">   442090</v>
      </c>
      <c r="B10449" t="s">
        <v>184</v>
      </c>
      <c r="C10449">
        <v>369676</v>
      </c>
      <c r="D10449">
        <v>6725</v>
      </c>
    </row>
    <row r="10450" spans="1:4" x14ac:dyDescent="0.25">
      <c r="A10450" t="str">
        <f>T("   480100")</f>
        <v xml:space="preserve">   480100</v>
      </c>
      <c r="B10450"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10450">
        <v>458000</v>
      </c>
      <c r="D10450">
        <v>9000</v>
      </c>
    </row>
    <row r="10451" spans="1:4" x14ac:dyDescent="0.25">
      <c r="A10451" t="str">
        <f>T("   482390")</f>
        <v xml:space="preserve">   482390</v>
      </c>
      <c r="B10451" t="s">
        <v>216</v>
      </c>
      <c r="C10451">
        <v>1480787</v>
      </c>
      <c r="D10451">
        <v>4050</v>
      </c>
    </row>
    <row r="10452" spans="1:4" x14ac:dyDescent="0.25">
      <c r="A10452" t="str">
        <f>T("   490199")</f>
        <v xml:space="preserve">   490199</v>
      </c>
      <c r="B1045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452">
        <v>117500</v>
      </c>
      <c r="D10452">
        <v>16000</v>
      </c>
    </row>
    <row r="10453" spans="1:4" x14ac:dyDescent="0.25">
      <c r="A10453" t="str">
        <f>T("   500790")</f>
        <v xml:space="preserve">   500790</v>
      </c>
      <c r="B10453" t="str">
        <f>T("   Tissus de soie ou de déchets de soie (autres que la bourrette), contenant en prédominance, mais &lt; 85% de soie ou de déchets de soie")</f>
        <v xml:space="preserve">   Tissus de soie ou de déchets de soie (autres que la bourrette), contenant en prédominance, mais &lt; 85% de soie ou de déchets de soie</v>
      </c>
      <c r="C10453">
        <v>274000</v>
      </c>
      <c r="D10453">
        <v>500</v>
      </c>
    </row>
    <row r="10454" spans="1:4" x14ac:dyDescent="0.25">
      <c r="A10454" t="str">
        <f>T("   511290")</f>
        <v xml:space="preserve">   511290</v>
      </c>
      <c r="B10454" t="s">
        <v>219</v>
      </c>
      <c r="C10454">
        <v>456250</v>
      </c>
      <c r="D10454">
        <v>15000</v>
      </c>
    </row>
    <row r="10455" spans="1:4" x14ac:dyDescent="0.25">
      <c r="A10455" t="str">
        <f>T("   580219")</f>
        <v xml:space="preserve">   580219</v>
      </c>
      <c r="B10455" t="str">
        <f>T("   Tissus bouclés du genre éponge, en coton (à l'excl. des tissus écrus, des articles de rubanerie du n° 5806 ainsi que des tapis et autres revêtements de sol du n° 5703)")</f>
        <v xml:space="preserve">   Tissus bouclés du genre éponge, en coton (à l'excl. des tissus écrus, des articles de rubanerie du n° 5806 ainsi que des tapis et autres revêtements de sol du n° 5703)</v>
      </c>
      <c r="C10455">
        <v>3865000</v>
      </c>
      <c r="D10455">
        <v>67336</v>
      </c>
    </row>
    <row r="10456" spans="1:4" x14ac:dyDescent="0.25">
      <c r="A10456" t="str">
        <f>T("   590800")</f>
        <v xml:space="preserve">   590800</v>
      </c>
      <c r="B10456" t="s">
        <v>248</v>
      </c>
      <c r="C10456">
        <v>2206500</v>
      </c>
      <c r="D10456">
        <v>3000</v>
      </c>
    </row>
    <row r="10457" spans="1:4" x14ac:dyDescent="0.25">
      <c r="A10457" t="str">
        <f>T("   600210")</f>
        <v xml:space="preserve">   600210</v>
      </c>
      <c r="B10457" t="str">
        <f>T("   ETOFFES DE BONNETERIE, D'UNE LARGEUR =&lt; 30 CM, TENEUR EN FILS D'ELASTOMERES OU DE CAOUTCHOUC &gt;= 5% EN POIDS")</f>
        <v xml:space="preserve">   ETOFFES DE BONNETERIE, D'UNE LARGEUR =&lt; 30 CM, TENEUR EN FILS D'ELASTOMERES OU DE CAOUTCHOUC &gt;= 5% EN POIDS</v>
      </c>
      <c r="C10457">
        <v>611000</v>
      </c>
      <c r="D10457">
        <v>72</v>
      </c>
    </row>
    <row r="10458" spans="1:4" x14ac:dyDescent="0.25">
      <c r="A10458" t="str">
        <f>T("   610220")</f>
        <v xml:space="preserve">   610220</v>
      </c>
      <c r="B10458" t="str">
        <f>T("   Manteaux, cabans, capes, anoraks, blousons et articles simil., en bonneterie, de coton, pour femmes ou fillettes (sauf costumes tailleurs, ensembles, vestes, blazers, robes, jupes, jupes-culottes et pantalons)")</f>
        <v xml:space="preserve">   Manteaux, cabans, capes, anoraks, blousons et articles simil., en bonneterie, de coton, pour femmes ou fillettes (sauf costumes tailleurs, ensembles, vestes, blazers, robes, jupes, jupes-culottes et pantalons)</v>
      </c>
      <c r="C10458">
        <v>922000</v>
      </c>
      <c r="D10458">
        <v>5689</v>
      </c>
    </row>
    <row r="10459" spans="1:4" x14ac:dyDescent="0.25">
      <c r="A10459" t="str">
        <f>T("   610990")</f>
        <v xml:space="preserve">   610990</v>
      </c>
      <c r="B10459" t="str">
        <f>T("   T-shirts et maillots de corps, en bonneterie, de matières textiles (sauf de coton)")</f>
        <v xml:space="preserve">   T-shirts et maillots de corps, en bonneterie, de matières textiles (sauf de coton)</v>
      </c>
      <c r="C10459">
        <v>4318000</v>
      </c>
      <c r="D10459">
        <v>27557</v>
      </c>
    </row>
    <row r="10460" spans="1:4" x14ac:dyDescent="0.25">
      <c r="A10460" t="str">
        <f>T("   611190")</f>
        <v xml:space="preserve">   611190</v>
      </c>
      <c r="B10460"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10460">
        <v>450000</v>
      </c>
      <c r="D10460">
        <v>2000</v>
      </c>
    </row>
    <row r="10461" spans="1:4" x14ac:dyDescent="0.25">
      <c r="A10461" t="str">
        <f>T("   630190")</f>
        <v xml:space="preserve">   630190</v>
      </c>
      <c r="B10461" t="s">
        <v>268</v>
      </c>
      <c r="C10461">
        <v>1383000</v>
      </c>
      <c r="D10461">
        <v>10483</v>
      </c>
    </row>
    <row r="10462" spans="1:4" x14ac:dyDescent="0.25">
      <c r="A10462" t="str">
        <f>T("   630291")</f>
        <v xml:space="preserve">   630291</v>
      </c>
      <c r="B10462" t="str">
        <f>T("   Linge de toilette ou de cuisine en coton (autre que bouclé du genre éponge et sauf serpillières, chiffons à parquet, lavettes et chamoisettes)")</f>
        <v xml:space="preserve">   Linge de toilette ou de cuisine en coton (autre que bouclé du genre éponge et sauf serpillières, chiffons à parquet, lavettes et chamoisettes)</v>
      </c>
      <c r="C10462">
        <v>20000</v>
      </c>
      <c r="D10462">
        <v>1000</v>
      </c>
    </row>
    <row r="10463" spans="1:4" x14ac:dyDescent="0.25">
      <c r="A10463" t="str">
        <f>T("   630391")</f>
        <v xml:space="preserve">   630391</v>
      </c>
      <c r="B10463" t="str">
        <f>T("   Vitrages, rideaux et stores d'intérieur ainsi que cantonnières et tours de lit, de coton (autres qu'en bonneterie et autres que stores d'extérieur)")</f>
        <v xml:space="preserve">   Vitrages, rideaux et stores d'intérieur ainsi que cantonnières et tours de lit, de coton (autres qu'en bonneterie et autres que stores d'extérieur)</v>
      </c>
      <c r="C10463">
        <v>120000</v>
      </c>
      <c r="D10463">
        <v>1000</v>
      </c>
    </row>
    <row r="10464" spans="1:4" x14ac:dyDescent="0.25">
      <c r="A10464" t="str">
        <f>T("   630612")</f>
        <v xml:space="preserve">   630612</v>
      </c>
      <c r="B10464"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10464">
        <v>488000</v>
      </c>
      <c r="D10464">
        <v>2000</v>
      </c>
    </row>
    <row r="10465" spans="1:4" x14ac:dyDescent="0.25">
      <c r="A10465" t="str">
        <f>T("   630900")</f>
        <v xml:space="preserve">   630900</v>
      </c>
      <c r="B10465" t="s">
        <v>273</v>
      </c>
      <c r="C10465">
        <v>20060592</v>
      </c>
      <c r="D10465">
        <v>75614</v>
      </c>
    </row>
    <row r="10466" spans="1:4" x14ac:dyDescent="0.25">
      <c r="A10466" t="str">
        <f>T("   640199")</f>
        <v xml:space="preserve">   640199</v>
      </c>
      <c r="B10466" t="s">
        <v>274</v>
      </c>
      <c r="C10466">
        <v>3330000</v>
      </c>
      <c r="D10466">
        <v>10000</v>
      </c>
    </row>
    <row r="10467" spans="1:4" x14ac:dyDescent="0.25">
      <c r="A10467" t="str">
        <f>T("   640219")</f>
        <v xml:space="preserve">   640219</v>
      </c>
      <c r="B10467" t="s">
        <v>276</v>
      </c>
      <c r="C10467">
        <v>800000</v>
      </c>
      <c r="D10467">
        <v>2000</v>
      </c>
    </row>
    <row r="10468" spans="1:4" x14ac:dyDescent="0.25">
      <c r="A10468" t="str">
        <f>T("   640230")</f>
        <v xml:space="preserve">   640230</v>
      </c>
      <c r="B10468" t="s">
        <v>277</v>
      </c>
      <c r="C10468">
        <v>5517000</v>
      </c>
      <c r="D10468">
        <v>4496</v>
      </c>
    </row>
    <row r="10469" spans="1:4" x14ac:dyDescent="0.25">
      <c r="A10469" t="str">
        <f>T("   650700")</f>
        <v xml:space="preserve">   650700</v>
      </c>
      <c r="B10469" t="str">
        <f>T("   Bandes pour garniture intérieure, coiffes, couvre-coiffures, carcasses, visières et jugulaires pour la chapellerie (sauf les bandeaux utilisés par les sportifs comme protection contre les gouttes de transpiration, en bonneterie)")</f>
        <v xml:space="preserve">   Bandes pour garniture intérieure, coiffes, couvre-coiffures, carcasses, visières et jugulaires pour la chapellerie (sauf les bandeaux utilisés par les sportifs comme protection contre les gouttes de transpiration, en bonneterie)</v>
      </c>
      <c r="C10469">
        <v>134000</v>
      </c>
      <c r="D10469">
        <v>2000</v>
      </c>
    </row>
    <row r="10470" spans="1:4" x14ac:dyDescent="0.25">
      <c r="A10470" t="str">
        <f>T("   670290")</f>
        <v xml:space="preserve">   670290</v>
      </c>
      <c r="B10470"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10470">
        <v>1395000</v>
      </c>
      <c r="D10470">
        <v>5751</v>
      </c>
    </row>
    <row r="10471" spans="1:4" x14ac:dyDescent="0.25">
      <c r="A10471" t="str">
        <f>T("   681210")</f>
        <v xml:space="preserve">   681210</v>
      </c>
      <c r="B10471" t="str">
        <f>T("   AMIANTE TRAVAILLÉ, EN FIBRES; MÉLANGES A BASE D'AMIANTE OU A BASE D'AMIANTE ET DE CARBONATE DE MAGNESIUM")</f>
        <v xml:space="preserve">   AMIANTE TRAVAILLÉ, EN FIBRES; MÉLANGES A BASE D'AMIANTE OU A BASE D'AMIANTE ET DE CARBONATE DE MAGNESIUM</v>
      </c>
      <c r="C10471">
        <v>20088324</v>
      </c>
      <c r="D10471">
        <v>193600</v>
      </c>
    </row>
    <row r="10472" spans="1:4" x14ac:dyDescent="0.25">
      <c r="A10472" t="str">
        <f>T("   681220")</f>
        <v xml:space="preserve">   681220</v>
      </c>
      <c r="B10472" t="str">
        <f>T("   FILS EN AMIANTE OU EN MÉLANGES A BASE D'AMIANTE OU A BASE D'AMIANTE ET DE CARBONATE DE MAGNESIUM")</f>
        <v xml:space="preserve">   FILS EN AMIANTE OU EN MÉLANGES A BASE D'AMIANTE OU A BASE D'AMIANTE ET DE CARBONATE DE MAGNESIUM</v>
      </c>
      <c r="C10472">
        <v>458000</v>
      </c>
      <c r="D10472">
        <v>12000</v>
      </c>
    </row>
    <row r="10473" spans="1:4" x14ac:dyDescent="0.25">
      <c r="A10473" t="str">
        <f>T("   681290")</f>
        <v xml:space="preserve">   681290</v>
      </c>
      <c r="B10473" t="s">
        <v>299</v>
      </c>
      <c r="C10473">
        <v>458000</v>
      </c>
      <c r="D10473">
        <v>850</v>
      </c>
    </row>
    <row r="10474" spans="1:4" x14ac:dyDescent="0.25">
      <c r="A10474" t="str">
        <f>T("   690390")</f>
        <v xml:space="preserve">   690390</v>
      </c>
      <c r="B10474" t="s">
        <v>303</v>
      </c>
      <c r="C10474">
        <v>2011000</v>
      </c>
      <c r="D10474">
        <v>10000</v>
      </c>
    </row>
    <row r="10475" spans="1:4" x14ac:dyDescent="0.25">
      <c r="A10475" t="str">
        <f>T("   691200")</f>
        <v xml:space="preserve">   691200</v>
      </c>
      <c r="B10475" t="s">
        <v>313</v>
      </c>
      <c r="C10475">
        <v>2500000</v>
      </c>
      <c r="D10475">
        <v>12000</v>
      </c>
    </row>
    <row r="10476" spans="1:4" x14ac:dyDescent="0.25">
      <c r="A10476" t="str">
        <f>T("   732490")</f>
        <v xml:space="preserve">   732490</v>
      </c>
      <c r="B10476" t="s">
        <v>364</v>
      </c>
      <c r="C10476">
        <v>412500</v>
      </c>
      <c r="D10476">
        <v>1000</v>
      </c>
    </row>
    <row r="10477" spans="1:4" x14ac:dyDescent="0.25">
      <c r="A10477" t="str">
        <f>T("   830130")</f>
        <v xml:space="preserve">   830130</v>
      </c>
      <c r="B10477" t="str">
        <f>T("   Serrures des types utilisés pour meubles, en métaux communs")</f>
        <v xml:space="preserve">   Serrures des types utilisés pour meubles, en métaux communs</v>
      </c>
      <c r="C10477">
        <v>367310</v>
      </c>
      <c r="D10477">
        <v>2000</v>
      </c>
    </row>
    <row r="10478" spans="1:4" x14ac:dyDescent="0.25">
      <c r="A10478" t="str">
        <f>T("   843229")</f>
        <v xml:space="preserve">   843229</v>
      </c>
      <c r="B10478" t="str">
        <f>T("   Herses, scarificateurs, cultivateurs, extirpateurs, houes, sarcleuses et bineuses pour l'agriculture, la sylviculture ou l'horticulture (à l'excl. des herses à disques)")</f>
        <v xml:space="preserve">   Herses, scarificateurs, cultivateurs, extirpateurs, houes, sarcleuses et bineuses pour l'agriculture, la sylviculture ou l'horticulture (à l'excl. des herses à disques)</v>
      </c>
      <c r="C10478">
        <v>1345000</v>
      </c>
      <c r="D10478">
        <v>5000</v>
      </c>
    </row>
    <row r="10479" spans="1:4" x14ac:dyDescent="0.25">
      <c r="A10479" t="str">
        <f>T("   844230")</f>
        <v xml:space="preserve">   844230</v>
      </c>
      <c r="B10479" t="s">
        <v>419</v>
      </c>
      <c r="C10479">
        <v>450000</v>
      </c>
      <c r="D10479">
        <v>2000</v>
      </c>
    </row>
    <row r="10480" spans="1:4" x14ac:dyDescent="0.25">
      <c r="A10480" t="str">
        <f>T("   848180")</f>
        <v xml:space="preserve">   848180</v>
      </c>
      <c r="B10480"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0480">
        <v>1822000</v>
      </c>
      <c r="D10480">
        <v>88668</v>
      </c>
    </row>
    <row r="10481" spans="1:4" x14ac:dyDescent="0.25">
      <c r="A10481" t="str">
        <f>T("   850140")</f>
        <v xml:space="preserve">   850140</v>
      </c>
      <c r="B10481" t="str">
        <f>T("   Moteurs à courant alternatif, monophasés")</f>
        <v xml:space="preserve">   Moteurs à courant alternatif, monophasés</v>
      </c>
      <c r="C10481">
        <v>35000</v>
      </c>
      <c r="D10481">
        <v>2000</v>
      </c>
    </row>
    <row r="10482" spans="1:4" x14ac:dyDescent="0.25">
      <c r="A10482" t="str">
        <f>T("   850780")</f>
        <v xml:space="preserve">   850780</v>
      </c>
      <c r="B10482" t="str">
        <f>T("   Accumulateurs électriques (sauf hors d'usage et autres qu'au plomb, au nickel-cadmium ou au nickel-fer)")</f>
        <v xml:space="preserve">   Accumulateurs électriques (sauf hors d'usage et autres qu'au plomb, au nickel-cadmium ou au nickel-fer)</v>
      </c>
      <c r="C10482">
        <v>2770000</v>
      </c>
      <c r="D10482">
        <v>13765</v>
      </c>
    </row>
    <row r="10483" spans="1:4" x14ac:dyDescent="0.25">
      <c r="A10483" t="str">
        <f>T("   854800")</f>
        <v xml:space="preserve">   854800</v>
      </c>
      <c r="B10483" t="str">
        <f>T("   PARTIES ÉLECTRIQUES DE MACHINES OU D'APPAREILS, NON DENOMMEES NI COMPRISES AILLEURS DANS LE PRESENT CHAPITRE")</f>
        <v xml:space="preserve">   PARTIES ÉLECTRIQUES DE MACHINES OU D'APPAREILS, NON DENOMMEES NI COMPRISES AILLEURS DANS LE PRESENT CHAPITRE</v>
      </c>
      <c r="C10483">
        <v>1389000</v>
      </c>
      <c r="D10483">
        <v>16712</v>
      </c>
    </row>
    <row r="10484" spans="1:4" x14ac:dyDescent="0.25">
      <c r="A10484" t="str">
        <f>T("   870322")</f>
        <v xml:space="preserve">   870322</v>
      </c>
      <c r="B10484" t="s">
        <v>472</v>
      </c>
      <c r="C10484">
        <v>1012839366</v>
      </c>
      <c r="D10484">
        <v>7930929</v>
      </c>
    </row>
    <row r="10485" spans="1:4" x14ac:dyDescent="0.25">
      <c r="A10485" t="str">
        <f>T("   871150")</f>
        <v xml:space="preserve">   871150</v>
      </c>
      <c r="B10485" t="str">
        <f>T("   Motocycles à moteur à piston alternatif, cylindrée &gt; 800 cm³")</f>
        <v xml:space="preserve">   Motocycles à moteur à piston alternatif, cylindrée &gt; 800 cm³</v>
      </c>
      <c r="C10485">
        <v>175000</v>
      </c>
      <c r="D10485">
        <v>1000</v>
      </c>
    </row>
    <row r="10486" spans="1:4" x14ac:dyDescent="0.25">
      <c r="A10486" t="str">
        <f>T("   901819")</f>
        <v xml:space="preserve">   901819</v>
      </c>
      <c r="B10486" t="s">
        <v>494</v>
      </c>
      <c r="C10486">
        <v>215606</v>
      </c>
      <c r="D10486">
        <v>4000</v>
      </c>
    </row>
    <row r="10487" spans="1:4" x14ac:dyDescent="0.25">
      <c r="A10487" t="str">
        <f>T("   940490")</f>
        <v xml:space="preserve">   940490</v>
      </c>
      <c r="B10487" t="s">
        <v>505</v>
      </c>
      <c r="C10487">
        <v>100000</v>
      </c>
      <c r="D10487">
        <v>2000</v>
      </c>
    </row>
    <row r="10488" spans="1:4" x14ac:dyDescent="0.25">
      <c r="A10488" t="str">
        <f>T("   960390")</f>
        <v xml:space="preserve">   960390</v>
      </c>
      <c r="B10488"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10488">
        <v>997000</v>
      </c>
      <c r="D10488">
        <v>9144</v>
      </c>
    </row>
    <row r="10489" spans="1:4" x14ac:dyDescent="0.25">
      <c r="A10489" t="str">
        <f>T("   961800")</f>
        <v xml:space="preserve">   961800</v>
      </c>
      <c r="B10489"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10489">
        <v>320000</v>
      </c>
      <c r="D10489">
        <v>1500</v>
      </c>
    </row>
    <row r="10490" spans="1:4" x14ac:dyDescent="0.25">
      <c r="A10490" t="str">
        <f>T("   970300")</f>
        <v xml:space="preserve">   970300</v>
      </c>
      <c r="B10490" t="str">
        <f>T("   Productions originales de l'art statuaire ou de la sculpture, en toutes matières")</f>
        <v xml:space="preserve">   Productions originales de l'art statuaire ou de la sculpture, en toutes matières</v>
      </c>
      <c r="C10490">
        <v>274769</v>
      </c>
      <c r="D10490">
        <v>500</v>
      </c>
    </row>
    <row r="10491" spans="1:4" x14ac:dyDescent="0.25">
      <c r="A10491" t="str">
        <f>T("ZA")</f>
        <v>ZA</v>
      </c>
      <c r="B10491" t="str">
        <f>T("Afrique du Sud")</f>
        <v>Afrique du Sud</v>
      </c>
    </row>
    <row r="10492" spans="1:4" x14ac:dyDescent="0.25">
      <c r="A10492" t="str">
        <f>T("   ZZ_Total_Produit_SH6")</f>
        <v xml:space="preserve">   ZZ_Total_Produit_SH6</v>
      </c>
      <c r="B10492" t="str">
        <f>T("   ZZ_Total_Produit_SH6")</f>
        <v xml:space="preserve">   ZZ_Total_Produit_SH6</v>
      </c>
      <c r="C10492">
        <v>9956120965</v>
      </c>
      <c r="D10492">
        <v>27522626.5</v>
      </c>
    </row>
    <row r="10493" spans="1:4" x14ac:dyDescent="0.25">
      <c r="A10493" t="str">
        <f>T("   070110")</f>
        <v xml:space="preserve">   070110</v>
      </c>
      <c r="B10493" t="str">
        <f>T("   Pommes de terre de semence")</f>
        <v xml:space="preserve">   Pommes de terre de semence</v>
      </c>
      <c r="C10493">
        <v>997048</v>
      </c>
      <c r="D10493">
        <v>207</v>
      </c>
    </row>
    <row r="10494" spans="1:4" x14ac:dyDescent="0.25">
      <c r="A10494" t="str">
        <f>T("   070190")</f>
        <v xml:space="preserve">   070190</v>
      </c>
      <c r="B10494" t="str">
        <f>T("   Pommes de terre, à l'état frais ou réfrigéré (à l'excl. des pommes de terre de semence)")</f>
        <v xml:space="preserve">   Pommes de terre, à l'état frais ou réfrigéré (à l'excl. des pommes de terre de semence)</v>
      </c>
      <c r="C10494">
        <v>6057791</v>
      </c>
      <c r="D10494">
        <v>29400</v>
      </c>
    </row>
    <row r="10495" spans="1:4" x14ac:dyDescent="0.25">
      <c r="A10495" t="str">
        <f>T("   070310")</f>
        <v xml:space="preserve">   070310</v>
      </c>
      <c r="B10495" t="str">
        <f>T("   Oignons et échalotes, à l'état frais ou réfrigéré")</f>
        <v xml:space="preserve">   Oignons et échalotes, à l'état frais ou réfrigéré</v>
      </c>
      <c r="C10495">
        <v>3664193</v>
      </c>
      <c r="D10495">
        <v>29400</v>
      </c>
    </row>
    <row r="10496" spans="1:4" x14ac:dyDescent="0.25">
      <c r="A10496" t="str">
        <f>T("   080510")</f>
        <v xml:space="preserve">   080510</v>
      </c>
      <c r="B10496" t="str">
        <f>T("   Oranges, fraîches ou sèches")</f>
        <v xml:space="preserve">   Oranges, fraîches ou sèches</v>
      </c>
      <c r="C10496">
        <v>7746585</v>
      </c>
      <c r="D10496">
        <v>32017</v>
      </c>
    </row>
    <row r="10497" spans="1:4" x14ac:dyDescent="0.25">
      <c r="A10497" t="str">
        <f>T("   080520")</f>
        <v xml:space="preserve">   080520</v>
      </c>
      <c r="B10497" t="str">
        <f>T("   Mandarines, y.c. les tangerines et les satsumas; clémentines, wilkings et hybrides simil. d'agrumes, frais ou secs")</f>
        <v xml:space="preserve">   Mandarines, y.c. les tangerines et les satsumas; clémentines, wilkings et hybrides simil. d'agrumes, frais ou secs</v>
      </c>
      <c r="C10497">
        <v>5003661</v>
      </c>
      <c r="D10497">
        <v>17036</v>
      </c>
    </row>
    <row r="10498" spans="1:4" x14ac:dyDescent="0.25">
      <c r="A10498" t="str">
        <f>T("   080540")</f>
        <v xml:space="preserve">   080540</v>
      </c>
      <c r="B10498" t="str">
        <f>T("   Pamplemousses et pomélos, frais ou secs")</f>
        <v xml:space="preserve">   Pamplemousses et pomélos, frais ou secs</v>
      </c>
      <c r="C10498">
        <v>1580864</v>
      </c>
      <c r="D10498">
        <v>4086</v>
      </c>
    </row>
    <row r="10499" spans="1:4" x14ac:dyDescent="0.25">
      <c r="A10499" t="str">
        <f>T("   080550")</f>
        <v xml:space="preserve">   080550</v>
      </c>
      <c r="B10499" t="s">
        <v>21</v>
      </c>
      <c r="C10499">
        <v>144311</v>
      </c>
      <c r="D10499">
        <v>660</v>
      </c>
    </row>
    <row r="10500" spans="1:4" x14ac:dyDescent="0.25">
      <c r="A10500" t="str">
        <f>T("   080610")</f>
        <v xml:space="preserve">   080610</v>
      </c>
      <c r="B10500" t="str">
        <f>T("   Raisins, frais")</f>
        <v xml:space="preserve">   Raisins, frais</v>
      </c>
      <c r="C10500">
        <v>238643770</v>
      </c>
      <c r="D10500">
        <v>581841</v>
      </c>
    </row>
    <row r="10501" spans="1:4" x14ac:dyDescent="0.25">
      <c r="A10501" t="str">
        <f>T("   080810")</f>
        <v xml:space="preserve">   080810</v>
      </c>
      <c r="B10501" t="str">
        <f>T("   Pommes, fraîches")</f>
        <v xml:space="preserve">   Pommes, fraîches</v>
      </c>
      <c r="C10501">
        <v>7904535959</v>
      </c>
      <c r="D10501">
        <v>23735266</v>
      </c>
    </row>
    <row r="10502" spans="1:4" x14ac:dyDescent="0.25">
      <c r="A10502" t="str">
        <f>T("   080820")</f>
        <v xml:space="preserve">   080820</v>
      </c>
      <c r="B10502" t="str">
        <f>T("   Poires et coings, frais")</f>
        <v xml:space="preserve">   Poires et coings, frais</v>
      </c>
      <c r="C10502">
        <v>174094339</v>
      </c>
      <c r="D10502">
        <v>535350</v>
      </c>
    </row>
    <row r="10503" spans="1:4" x14ac:dyDescent="0.25">
      <c r="A10503" t="str">
        <f>T("   080940")</f>
        <v xml:space="preserve">   080940</v>
      </c>
      <c r="B10503" t="str">
        <f>T("   Prunes et prunelles, fraîches")</f>
        <v xml:space="preserve">   Prunes et prunelles, fraîches</v>
      </c>
      <c r="C10503">
        <v>30579491</v>
      </c>
      <c r="D10503">
        <v>87860</v>
      </c>
    </row>
    <row r="10504" spans="1:4" x14ac:dyDescent="0.25">
      <c r="A10504" t="str">
        <f>T("   081090")</f>
        <v xml:space="preserve">   081090</v>
      </c>
      <c r="B10504" t="s">
        <v>23</v>
      </c>
      <c r="C10504">
        <v>4024971</v>
      </c>
      <c r="D10504">
        <v>11980</v>
      </c>
    </row>
    <row r="10505" spans="1:4" x14ac:dyDescent="0.25">
      <c r="A10505" t="str">
        <f>T("   081330")</f>
        <v xml:space="preserve">   081330</v>
      </c>
      <c r="B10505" t="str">
        <f>T("   Pommes, séchées")</f>
        <v xml:space="preserve">   Pommes, séchées</v>
      </c>
      <c r="C10505">
        <v>8000088</v>
      </c>
      <c r="D10505">
        <v>22500</v>
      </c>
    </row>
    <row r="10506" spans="1:4" x14ac:dyDescent="0.25">
      <c r="A10506" t="str">
        <f>T("   100590")</f>
        <v xml:space="preserve">   100590</v>
      </c>
      <c r="B10506" t="str">
        <f>T("   Maïs (autre que de semence)")</f>
        <v xml:space="preserve">   Maïs (autre que de semence)</v>
      </c>
      <c r="C10506">
        <v>8784088</v>
      </c>
      <c r="D10506">
        <v>50880</v>
      </c>
    </row>
    <row r="10507" spans="1:4" x14ac:dyDescent="0.25">
      <c r="A10507" t="str">
        <f>T("   100630")</f>
        <v xml:space="preserve">   100630</v>
      </c>
      <c r="B10507" t="str">
        <f>T("   Riz semi-blanchi ou blanchi, même poli ou glacé")</f>
        <v xml:space="preserve">   Riz semi-blanchi ou blanchi, même poli ou glacé</v>
      </c>
      <c r="C10507">
        <v>26238</v>
      </c>
      <c r="D10507">
        <v>70</v>
      </c>
    </row>
    <row r="10508" spans="1:4" x14ac:dyDescent="0.25">
      <c r="A10508" t="str">
        <f>T("   100890")</f>
        <v xml:space="preserve">   100890</v>
      </c>
      <c r="B10508" t="str">
        <f>T("   Céréales (à l'excl. du froment [blé], du méteil, du seigle, de l'orge, de l'avoine, du maïs, du riz, du sorgho à grains, du sarrasin, du millet et de l'alpiste)")</f>
        <v xml:space="preserve">   Céréales (à l'excl. du froment [blé], du méteil, du seigle, de l'orge, de l'avoine, du maïs, du riz, du sorgho à grains, du sarrasin, du millet et de l'alpiste)</v>
      </c>
      <c r="C10508">
        <v>6789034</v>
      </c>
      <c r="D10508">
        <v>1300</v>
      </c>
    </row>
    <row r="10509" spans="1:4" x14ac:dyDescent="0.25">
      <c r="A10509" t="str">
        <f>T("   152000")</f>
        <v xml:space="preserve">   152000</v>
      </c>
      <c r="B10509" t="str">
        <f>T("   Glycérol brut; eaux et lessives glycérineuses")</f>
        <v xml:space="preserve">   Glycérol brut; eaux et lessives glycérineuses</v>
      </c>
      <c r="C10509">
        <v>555618</v>
      </c>
      <c r="D10509">
        <v>2278</v>
      </c>
    </row>
    <row r="10510" spans="1:4" x14ac:dyDescent="0.25">
      <c r="A10510" t="str">
        <f>T("   190590")</f>
        <v xml:space="preserve">   190590</v>
      </c>
      <c r="B10510" t="s">
        <v>52</v>
      </c>
      <c r="C10510">
        <v>25583</v>
      </c>
      <c r="D10510">
        <v>20</v>
      </c>
    </row>
    <row r="10511" spans="1:4" x14ac:dyDescent="0.25">
      <c r="A10511" t="str">
        <f>T("   200919")</f>
        <v xml:space="preserve">   200919</v>
      </c>
      <c r="B10511"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0511">
        <v>2829752</v>
      </c>
      <c r="D10511">
        <v>5666</v>
      </c>
    </row>
    <row r="10512" spans="1:4" x14ac:dyDescent="0.25">
      <c r="A10512" t="str">
        <f>T("   200929")</f>
        <v xml:space="preserve">   200929</v>
      </c>
      <c r="B10512" t="str">
        <f>T("   JUS DE PAMPLEMOUSSE OU DE POMELO, NON-FERMENTÉS, SANS ADDITION D'ALCOOL, AVEC OU SANS ADDITION DE SUCRE OU D'AUTRES ÉDULCORANTS, D'UNE VALEUR BRIX &gt; 20 À 20°C")</f>
        <v xml:space="preserve">   JUS DE PAMPLEMOUSSE OU DE POMELO, NON-FERMENTÉS, SANS ADDITION D'ALCOOL, AVEC OU SANS ADDITION DE SUCRE OU D'AUTRES ÉDULCORANTS, D'UNE VALEUR BRIX &gt; 20 À 20°C</v>
      </c>
      <c r="C10512">
        <v>3807942</v>
      </c>
      <c r="D10512">
        <v>7623</v>
      </c>
    </row>
    <row r="10513" spans="1:4" x14ac:dyDescent="0.25">
      <c r="A10513" t="str">
        <f>T("   200941")</f>
        <v xml:space="preserve">   200941</v>
      </c>
      <c r="B10513"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10513">
        <v>957324</v>
      </c>
      <c r="D10513">
        <v>1917</v>
      </c>
    </row>
    <row r="10514" spans="1:4" x14ac:dyDescent="0.25">
      <c r="A10514" t="str">
        <f>T("   200969")</f>
        <v xml:space="preserve">   200969</v>
      </c>
      <c r="B10514"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10514">
        <v>18960890</v>
      </c>
      <c r="D10514">
        <v>99723</v>
      </c>
    </row>
    <row r="10515" spans="1:4" x14ac:dyDescent="0.25">
      <c r="A10515" t="str">
        <f>T("   200979")</f>
        <v xml:space="preserve">   200979</v>
      </c>
      <c r="B10515"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10515">
        <v>3888975</v>
      </c>
      <c r="D10515">
        <v>8827</v>
      </c>
    </row>
    <row r="10516" spans="1:4" x14ac:dyDescent="0.25">
      <c r="A10516" t="str">
        <f>T("   200980")</f>
        <v xml:space="preserve">   200980</v>
      </c>
      <c r="B10516"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516">
        <v>15031155</v>
      </c>
      <c r="D10516">
        <v>59897</v>
      </c>
    </row>
    <row r="10517" spans="1:4" x14ac:dyDescent="0.25">
      <c r="A10517" t="str">
        <f>T("   200990")</f>
        <v xml:space="preserve">   200990</v>
      </c>
      <c r="B10517"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517">
        <v>10362972</v>
      </c>
      <c r="D10517">
        <v>24467</v>
      </c>
    </row>
    <row r="10518" spans="1:4" x14ac:dyDescent="0.25">
      <c r="A10518" t="str">
        <f>T("   210310")</f>
        <v xml:space="preserve">   210310</v>
      </c>
      <c r="B10518" t="str">
        <f>T("   SAUCE DE SOJA")</f>
        <v xml:space="preserve">   SAUCE DE SOJA</v>
      </c>
      <c r="C10518">
        <v>141888</v>
      </c>
      <c r="D10518">
        <v>238</v>
      </c>
    </row>
    <row r="10519" spans="1:4" x14ac:dyDescent="0.25">
      <c r="A10519" t="str">
        <f>T("   220421")</f>
        <v xml:space="preserve">   220421</v>
      </c>
      <c r="B10519"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0519">
        <v>17096286</v>
      </c>
      <c r="D10519">
        <v>28823</v>
      </c>
    </row>
    <row r="10520" spans="1:4" x14ac:dyDescent="0.25">
      <c r="A10520" t="str">
        <f>T("   220429")</f>
        <v xml:space="preserve">   220429</v>
      </c>
      <c r="B10520"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0520">
        <v>5557644</v>
      </c>
      <c r="D10520">
        <v>24703</v>
      </c>
    </row>
    <row r="10521" spans="1:4" x14ac:dyDescent="0.25">
      <c r="A10521" t="str">
        <f>T("   220600")</f>
        <v xml:space="preserve">   220600</v>
      </c>
      <c r="B10521" t="s">
        <v>61</v>
      </c>
      <c r="C10521">
        <v>8294614</v>
      </c>
      <c r="D10521">
        <v>15625</v>
      </c>
    </row>
    <row r="10522" spans="1:4" x14ac:dyDescent="0.25">
      <c r="A10522" t="str">
        <f>T("   220830")</f>
        <v xml:space="preserve">   220830</v>
      </c>
      <c r="B10522" t="str">
        <f>T("   Whiskies")</f>
        <v xml:space="preserve">   Whiskies</v>
      </c>
      <c r="C10522">
        <v>1731218</v>
      </c>
      <c r="D10522">
        <v>1590</v>
      </c>
    </row>
    <row r="10523" spans="1:4" x14ac:dyDescent="0.25">
      <c r="A10523" t="str">
        <f>T("   220870")</f>
        <v xml:space="preserve">   220870</v>
      </c>
      <c r="B10523" t="str">
        <f>T("   LIQUEURS")</f>
        <v xml:space="preserve">   LIQUEURS</v>
      </c>
      <c r="C10523">
        <v>1200679</v>
      </c>
      <c r="D10523">
        <v>4351</v>
      </c>
    </row>
    <row r="10524" spans="1:4" x14ac:dyDescent="0.25">
      <c r="A10524" t="str">
        <f>T("   250820")</f>
        <v xml:space="preserve">   250820</v>
      </c>
      <c r="B10524" t="str">
        <f>T("   Terres décolorantes et terres à foulon")</f>
        <v xml:space="preserve">   Terres décolorantes et terres à foulon</v>
      </c>
      <c r="C10524">
        <v>14082268</v>
      </c>
      <c r="D10524">
        <v>36000</v>
      </c>
    </row>
    <row r="10525" spans="1:4" x14ac:dyDescent="0.25">
      <c r="A10525" t="str">
        <f>T("   271019")</f>
        <v xml:space="preserve">   271019</v>
      </c>
      <c r="B10525" t="str">
        <f>T("   Huiles moyennes et préparations, de pétrole ou de minéraux bitumineux, n.d.a.")</f>
        <v xml:space="preserve">   Huiles moyennes et préparations, de pétrole ou de minéraux bitumineux, n.d.a.</v>
      </c>
      <c r="C10525">
        <v>1</v>
      </c>
      <c r="D10525">
        <v>23817</v>
      </c>
    </row>
    <row r="10526" spans="1:4" x14ac:dyDescent="0.25">
      <c r="A10526" t="str">
        <f>T("   330499")</f>
        <v xml:space="preserve">   330499</v>
      </c>
      <c r="B10526" t="s">
        <v>97</v>
      </c>
      <c r="C10526">
        <v>36252041</v>
      </c>
      <c r="D10526">
        <v>146553</v>
      </c>
    </row>
    <row r="10527" spans="1:4" x14ac:dyDescent="0.25">
      <c r="A10527" t="str">
        <f>T("   330520")</f>
        <v xml:space="preserve">   330520</v>
      </c>
      <c r="B10527" t="str">
        <f>T("   Préparations pour l'ondulation ou le défrisage permanents")</f>
        <v xml:space="preserve">   Préparations pour l'ondulation ou le défrisage permanents</v>
      </c>
      <c r="C10527">
        <v>1246981</v>
      </c>
      <c r="D10527">
        <v>2101</v>
      </c>
    </row>
    <row r="10528" spans="1:4" x14ac:dyDescent="0.25">
      <c r="A10528" t="str">
        <f>T("   330590")</f>
        <v xml:space="preserve">   330590</v>
      </c>
      <c r="B10528"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0528">
        <v>747794</v>
      </c>
      <c r="D10528">
        <v>1744</v>
      </c>
    </row>
    <row r="10529" spans="1:4" x14ac:dyDescent="0.25">
      <c r="A10529" t="str">
        <f>T("   330720")</f>
        <v xml:space="preserve">   330720</v>
      </c>
      <c r="B10529" t="str">
        <f>T("   Désodorisants corporels et antisudoraux, préparés")</f>
        <v xml:space="preserve">   Désodorisants corporels et antisudoraux, préparés</v>
      </c>
      <c r="C10529">
        <v>2694027</v>
      </c>
      <c r="D10529">
        <v>4605</v>
      </c>
    </row>
    <row r="10530" spans="1:4" x14ac:dyDescent="0.25">
      <c r="A10530" t="str">
        <f>T("   340130")</f>
        <v xml:space="preserve">   340130</v>
      </c>
      <c r="B10530"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10530">
        <v>430310</v>
      </c>
      <c r="D10530">
        <v>993</v>
      </c>
    </row>
    <row r="10531" spans="1:4" x14ac:dyDescent="0.25">
      <c r="A10531" t="str">
        <f>T("   382490")</f>
        <v xml:space="preserve">   382490</v>
      </c>
      <c r="B10531"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0531">
        <v>14479429</v>
      </c>
      <c r="D10531">
        <v>44750</v>
      </c>
    </row>
    <row r="10532" spans="1:4" x14ac:dyDescent="0.25">
      <c r="A10532" t="str">
        <f>T("   392329")</f>
        <v xml:space="preserve">   392329</v>
      </c>
      <c r="B10532" t="str">
        <f>T("   Sacs, sachets, pochettes et cornets, en matières plastiques (autres que les polymères de l'éthylène)")</f>
        <v xml:space="preserve">   Sacs, sachets, pochettes et cornets, en matières plastiques (autres que les polymères de l'éthylène)</v>
      </c>
      <c r="C10532">
        <v>207896</v>
      </c>
      <c r="D10532">
        <v>267</v>
      </c>
    </row>
    <row r="10533" spans="1:4" x14ac:dyDescent="0.25">
      <c r="A10533" t="str">
        <f>T("   392330")</f>
        <v xml:space="preserve">   392330</v>
      </c>
      <c r="B10533" t="str">
        <f>T("   Bonbonnes, bouteilles, flacons et articles simil. pour le transport ou l'emballage, en matières plastiques")</f>
        <v xml:space="preserve">   Bonbonnes, bouteilles, flacons et articles simil. pour le transport ou l'emballage, en matières plastiques</v>
      </c>
      <c r="C10533">
        <v>526362914</v>
      </c>
      <c r="D10533">
        <v>333748</v>
      </c>
    </row>
    <row r="10534" spans="1:4" x14ac:dyDescent="0.25">
      <c r="A10534" t="str">
        <f>T("   392390")</f>
        <v xml:space="preserve">   392390</v>
      </c>
      <c r="B10534" t="s">
        <v>142</v>
      </c>
      <c r="C10534">
        <v>726148</v>
      </c>
      <c r="D10534">
        <v>2109</v>
      </c>
    </row>
    <row r="10535" spans="1:4" x14ac:dyDescent="0.25">
      <c r="A10535" t="str">
        <f>T("   392690")</f>
        <v xml:space="preserve">   392690</v>
      </c>
      <c r="B10535" t="str">
        <f>T("   Ouvrages en matières plastiques et ouvrages en autres matières du n° 3901 à 3914, n.d.a.")</f>
        <v xml:space="preserve">   Ouvrages en matières plastiques et ouvrages en autres matières du n° 3901 à 3914, n.d.a.</v>
      </c>
      <c r="C10535">
        <v>244920</v>
      </c>
      <c r="D10535">
        <v>410</v>
      </c>
    </row>
    <row r="10536" spans="1:4" x14ac:dyDescent="0.25">
      <c r="A10536" t="str">
        <f>T("   400942")</f>
        <v xml:space="preserve">   400942</v>
      </c>
      <c r="B10536" t="s">
        <v>150</v>
      </c>
      <c r="C10536">
        <v>184390</v>
      </c>
      <c r="D10536">
        <v>444</v>
      </c>
    </row>
    <row r="10537" spans="1:4" x14ac:dyDescent="0.25">
      <c r="A10537" t="str">
        <f>T("   401019")</f>
        <v xml:space="preserve">   401019</v>
      </c>
      <c r="B10537"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10537">
        <v>35422</v>
      </c>
      <c r="D10537">
        <v>2</v>
      </c>
    </row>
    <row r="10538" spans="1:4" x14ac:dyDescent="0.25">
      <c r="A10538" t="str">
        <f>T("   401032")</f>
        <v xml:space="preserve">   401032</v>
      </c>
      <c r="B10538" t="str">
        <f>T("   Courroies de transmission sans fin de section trapézoïdale, en caoutchouc vulcanisé, d'une circonférence extérieure &gt; 60 cm mais &lt;= 180 cm (sauf striées)")</f>
        <v xml:space="preserve">   Courroies de transmission sans fin de section trapézoïdale, en caoutchouc vulcanisé, d'une circonférence extérieure &gt; 60 cm mais &lt;= 180 cm (sauf striées)</v>
      </c>
      <c r="C10538">
        <v>8182984</v>
      </c>
      <c r="D10538">
        <v>527</v>
      </c>
    </row>
    <row r="10539" spans="1:4" x14ac:dyDescent="0.25">
      <c r="A10539" t="str">
        <f>T("   401110")</f>
        <v xml:space="preserve">   401110</v>
      </c>
      <c r="B10539"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539">
        <v>13024743</v>
      </c>
      <c r="D10539">
        <v>3572</v>
      </c>
    </row>
    <row r="10540" spans="1:4" x14ac:dyDescent="0.25">
      <c r="A10540" t="str">
        <f>T("   401699")</f>
        <v xml:space="preserve">   401699</v>
      </c>
      <c r="B10540" t="str">
        <f>T("   OUVRAGES EN CAOUTCHOUC VULCANISÉ NON-DURCI, N.D.A.")</f>
        <v xml:space="preserve">   OUVRAGES EN CAOUTCHOUC VULCANISÉ NON-DURCI, N.D.A.</v>
      </c>
      <c r="C10540">
        <v>143805</v>
      </c>
      <c r="D10540">
        <v>3</v>
      </c>
    </row>
    <row r="10541" spans="1:4" x14ac:dyDescent="0.25">
      <c r="A10541" t="str">
        <f>T("   420229")</f>
        <v xml:space="preserve">   420229</v>
      </c>
      <c r="B10541"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0541">
        <v>2171485</v>
      </c>
      <c r="D10541">
        <v>15327</v>
      </c>
    </row>
    <row r="10542" spans="1:4" x14ac:dyDescent="0.25">
      <c r="A10542" t="str">
        <f>T("   440349")</f>
        <v xml:space="preserve">   440349</v>
      </c>
      <c r="B10542" t="s">
        <v>163</v>
      </c>
      <c r="C10542">
        <v>260831999</v>
      </c>
      <c r="D10542">
        <v>1030550</v>
      </c>
    </row>
    <row r="10543" spans="1:4" x14ac:dyDescent="0.25">
      <c r="A10543" t="str">
        <f>T("   480256")</f>
        <v xml:space="preserve">   480256</v>
      </c>
      <c r="B10543" t="s">
        <v>188</v>
      </c>
      <c r="C10543">
        <v>5540000</v>
      </c>
      <c r="D10543">
        <v>30000</v>
      </c>
    </row>
    <row r="10544" spans="1:4" x14ac:dyDescent="0.25">
      <c r="A10544" t="str">
        <f>T("   480257")</f>
        <v xml:space="preserve">   480257</v>
      </c>
      <c r="B10544" t="s">
        <v>189</v>
      </c>
      <c r="C10544">
        <v>1164985</v>
      </c>
      <c r="D10544">
        <v>9920</v>
      </c>
    </row>
    <row r="10545" spans="1:4" x14ac:dyDescent="0.25">
      <c r="A10545" t="str">
        <f>T("   480431")</f>
        <v xml:space="preserve">   480431</v>
      </c>
      <c r="B10545" t="s">
        <v>194</v>
      </c>
      <c r="C10545">
        <v>22474915</v>
      </c>
      <c r="D10545">
        <v>32760</v>
      </c>
    </row>
    <row r="10546" spans="1:4" x14ac:dyDescent="0.25">
      <c r="A10546" t="str">
        <f>T("   490199")</f>
        <v xml:space="preserve">   490199</v>
      </c>
      <c r="B1054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546">
        <v>300000</v>
      </c>
      <c r="D10546">
        <v>202</v>
      </c>
    </row>
    <row r="10547" spans="1:4" x14ac:dyDescent="0.25">
      <c r="A10547" t="str">
        <f>T("   490290")</f>
        <v xml:space="preserve">   490290</v>
      </c>
      <c r="B10547"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10547">
        <v>250000</v>
      </c>
      <c r="D10547">
        <v>64.5</v>
      </c>
    </row>
    <row r="10548" spans="1:4" x14ac:dyDescent="0.25">
      <c r="A10548" t="str">
        <f>T("   490900")</f>
        <v xml:space="preserve">   490900</v>
      </c>
      <c r="B10548"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10548">
        <v>71250</v>
      </c>
      <c r="D10548">
        <v>2</v>
      </c>
    </row>
    <row r="10549" spans="1:4" x14ac:dyDescent="0.25">
      <c r="A10549" t="str">
        <f>T("   491110")</f>
        <v xml:space="preserve">   491110</v>
      </c>
      <c r="B10549" t="str">
        <f>T("   Imprimés publicitaires, catalogues commerciaux et simil.")</f>
        <v xml:space="preserve">   Imprimés publicitaires, catalogues commerciaux et simil.</v>
      </c>
      <c r="C10549">
        <v>12122</v>
      </c>
      <c r="D10549">
        <v>51</v>
      </c>
    </row>
    <row r="10550" spans="1:4" x14ac:dyDescent="0.25">
      <c r="A10550" t="str">
        <f>T("   570500")</f>
        <v xml:space="preserve">   570500</v>
      </c>
      <c r="B10550"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10550">
        <v>1463549</v>
      </c>
      <c r="D10550">
        <v>250</v>
      </c>
    </row>
    <row r="10551" spans="1:4" x14ac:dyDescent="0.25">
      <c r="A10551" t="str">
        <f>T("   610990")</f>
        <v xml:space="preserve">   610990</v>
      </c>
      <c r="B10551" t="str">
        <f>T("   T-shirts et maillots de corps, en bonneterie, de matières textiles (sauf de coton)")</f>
        <v xml:space="preserve">   T-shirts et maillots de corps, en bonneterie, de matières textiles (sauf de coton)</v>
      </c>
      <c r="C10551">
        <v>100184</v>
      </c>
      <c r="D10551">
        <v>15</v>
      </c>
    </row>
    <row r="10552" spans="1:4" x14ac:dyDescent="0.25">
      <c r="A10552" t="str">
        <f>T("   620590")</f>
        <v xml:space="preserve">   620590</v>
      </c>
      <c r="B1055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552">
        <v>1320396</v>
      </c>
      <c r="D10552">
        <v>1332</v>
      </c>
    </row>
    <row r="10553" spans="1:4" x14ac:dyDescent="0.25">
      <c r="A10553" t="str">
        <f>T("   621142")</f>
        <v xml:space="preserve">   621142</v>
      </c>
      <c r="B10553" t="str">
        <f>T("   Survêtements de sport 'trainings' et autres vêtements n.d.a., de coton, pour femmes ou fillettes (autres qu'en bonneterie)")</f>
        <v xml:space="preserve">   Survêtements de sport 'trainings' et autres vêtements n.d.a., de coton, pour femmes ou fillettes (autres qu'en bonneterie)</v>
      </c>
      <c r="C10553">
        <v>16156</v>
      </c>
      <c r="D10553">
        <v>67</v>
      </c>
    </row>
    <row r="10554" spans="1:4" x14ac:dyDescent="0.25">
      <c r="A10554" t="str">
        <f>T("   630539")</f>
        <v xml:space="preserve">   630539</v>
      </c>
      <c r="B10554"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10554">
        <v>2840000</v>
      </c>
      <c r="D10554">
        <v>6800</v>
      </c>
    </row>
    <row r="10555" spans="1:4" x14ac:dyDescent="0.25">
      <c r="A10555" t="str">
        <f>T("   630629")</f>
        <v xml:space="preserve">   630629</v>
      </c>
      <c r="B10555" t="str">
        <f>T("   Tentes de matières textiles (autres que de coton ou fibres synthétiques et sauf paravents)")</f>
        <v xml:space="preserve">   Tentes de matières textiles (autres que de coton ou fibres synthétiques et sauf paravents)</v>
      </c>
      <c r="C10555">
        <v>29191009</v>
      </c>
      <c r="D10555">
        <v>3000</v>
      </c>
    </row>
    <row r="10556" spans="1:4" x14ac:dyDescent="0.25">
      <c r="A10556" t="str">
        <f>T("   640340")</f>
        <v xml:space="preserve">   640340</v>
      </c>
      <c r="B10556"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10556">
        <v>649519</v>
      </c>
      <c r="D10556">
        <v>66</v>
      </c>
    </row>
    <row r="10557" spans="1:4" x14ac:dyDescent="0.25">
      <c r="A10557" t="str">
        <f>T("   660110")</f>
        <v xml:space="preserve">   660110</v>
      </c>
      <c r="B10557" t="str">
        <f>T("   Parasols de jardin et articles simil. (sauf tentes de plage)")</f>
        <v xml:space="preserve">   Parasols de jardin et articles simil. (sauf tentes de plage)</v>
      </c>
      <c r="C10557">
        <v>195277</v>
      </c>
      <c r="D10557">
        <v>1718</v>
      </c>
    </row>
    <row r="10558" spans="1:4" x14ac:dyDescent="0.25">
      <c r="A10558" t="str">
        <f>T("   670419")</f>
        <v xml:space="preserve">   670419</v>
      </c>
      <c r="B10558" t="str">
        <f>T("   Barbes, sourcils, cils, mèches et articles simil., en matières textiles synthétiques (sauf perruques complètes)")</f>
        <v xml:space="preserve">   Barbes, sourcils, cils, mèches et articles simil., en matières textiles synthétiques (sauf perruques complètes)</v>
      </c>
      <c r="C10558">
        <v>2996417</v>
      </c>
      <c r="D10558">
        <v>2000</v>
      </c>
    </row>
    <row r="10559" spans="1:4" x14ac:dyDescent="0.25">
      <c r="A10559" t="str">
        <f>T("   700721")</f>
        <v xml:space="preserve">   700721</v>
      </c>
      <c r="B10559" t="s">
        <v>318</v>
      </c>
      <c r="C10559">
        <v>1031561</v>
      </c>
      <c r="D10559">
        <v>70</v>
      </c>
    </row>
    <row r="10560" spans="1:4" x14ac:dyDescent="0.25">
      <c r="A10560" t="str">
        <f>T("   700910")</f>
        <v xml:space="preserve">   700910</v>
      </c>
      <c r="B10560" t="str">
        <f>T("   Miroirs rétroviseurs en verre, même encadrés, pour véhicules")</f>
        <v xml:space="preserve">   Miroirs rétroviseurs en verre, même encadrés, pour véhicules</v>
      </c>
      <c r="C10560">
        <v>649114</v>
      </c>
      <c r="D10560">
        <v>31</v>
      </c>
    </row>
    <row r="10561" spans="1:4" x14ac:dyDescent="0.25">
      <c r="A10561" t="str">
        <f>T("   721621")</f>
        <v xml:space="preserve">   721621</v>
      </c>
      <c r="B10561" t="str">
        <f>T("   PROFILÉS EN L EN FER OU ACIERS NON ALLIÉS, SIMPLEMENT LAMINÉS OU FILÉS À CHAUD, HAUTEUR &lt; 80 MM")</f>
        <v xml:space="preserve">   PROFILÉS EN L EN FER OU ACIERS NON ALLIÉS, SIMPLEMENT LAMINÉS OU FILÉS À CHAUD, HAUTEUR &lt; 80 MM</v>
      </c>
      <c r="C10561">
        <v>62979800</v>
      </c>
      <c r="D10561">
        <v>200000</v>
      </c>
    </row>
    <row r="10562" spans="1:4" x14ac:dyDescent="0.25">
      <c r="A10562" t="str">
        <f>T("   730719")</f>
        <v xml:space="preserve">   730719</v>
      </c>
      <c r="B10562" t="str">
        <f>T("   Accessoires de tuyauterie moulés en fonte, fer ou acier (sauf fonte non-malléable)")</f>
        <v xml:space="preserve">   Accessoires de tuyauterie moulés en fonte, fer ou acier (sauf fonte non-malléable)</v>
      </c>
      <c r="C10562">
        <v>45917</v>
      </c>
      <c r="D10562">
        <v>1</v>
      </c>
    </row>
    <row r="10563" spans="1:4" x14ac:dyDescent="0.25">
      <c r="A10563" t="str">
        <f>T("   730900")</f>
        <v xml:space="preserve">   730900</v>
      </c>
      <c r="B10563" t="s">
        <v>350</v>
      </c>
      <c r="C10563">
        <v>1184009</v>
      </c>
      <c r="D10563">
        <v>87</v>
      </c>
    </row>
    <row r="10564" spans="1:4" x14ac:dyDescent="0.25">
      <c r="A10564" t="str">
        <f>T("   731815")</f>
        <v xml:space="preserve">   731815</v>
      </c>
      <c r="B10564" t="s">
        <v>354</v>
      </c>
      <c r="C10564">
        <v>1112572</v>
      </c>
      <c r="D10564">
        <v>84</v>
      </c>
    </row>
    <row r="10565" spans="1:4" x14ac:dyDescent="0.25">
      <c r="A10565" t="str">
        <f>T("   731816")</f>
        <v xml:space="preserve">   731816</v>
      </c>
      <c r="B10565" t="str">
        <f>T("   ÉCROUS EN FONTE, FER OU ACIER")</f>
        <v xml:space="preserve">   ÉCROUS EN FONTE, FER OU ACIER</v>
      </c>
      <c r="C10565">
        <v>12463</v>
      </c>
      <c r="D10565">
        <v>1</v>
      </c>
    </row>
    <row r="10566" spans="1:4" x14ac:dyDescent="0.25">
      <c r="A10566" t="str">
        <f>T("   732394")</f>
        <v xml:space="preserve">   732394</v>
      </c>
      <c r="B10566" t="s">
        <v>362</v>
      </c>
      <c r="C10566">
        <v>1260000</v>
      </c>
      <c r="D10566">
        <v>1611</v>
      </c>
    </row>
    <row r="10567" spans="1:4" x14ac:dyDescent="0.25">
      <c r="A10567" t="str">
        <f>T("   732399")</f>
        <v xml:space="preserve">   732399</v>
      </c>
      <c r="B10567" t="s">
        <v>363</v>
      </c>
      <c r="C10567">
        <v>1726302</v>
      </c>
      <c r="D10567">
        <v>25308</v>
      </c>
    </row>
    <row r="10568" spans="1:4" x14ac:dyDescent="0.25">
      <c r="A10568" t="str">
        <f>T("   732490")</f>
        <v xml:space="preserve">   732490</v>
      </c>
      <c r="B10568" t="s">
        <v>364</v>
      </c>
      <c r="C10568">
        <v>29794</v>
      </c>
      <c r="D10568">
        <v>444</v>
      </c>
    </row>
    <row r="10569" spans="1:4" x14ac:dyDescent="0.25">
      <c r="A10569" t="str">
        <f>T("   830230")</f>
        <v xml:space="preserve">   830230</v>
      </c>
      <c r="B10569" t="str">
        <f>T("   Garnitures, ferrures et simil. en métaux communs, pour véhicules automobiles (sauf charnières et serrures)")</f>
        <v xml:space="preserve">   Garnitures, ferrures et simil. en métaux communs, pour véhicules automobiles (sauf charnières et serrures)</v>
      </c>
      <c r="C10569">
        <v>93473</v>
      </c>
      <c r="D10569">
        <v>2</v>
      </c>
    </row>
    <row r="10570" spans="1:4" x14ac:dyDescent="0.25">
      <c r="A10570" t="str">
        <f>T("   840510")</f>
        <v xml:space="preserve">   840510</v>
      </c>
      <c r="B10570" t="s">
        <v>386</v>
      </c>
      <c r="C10570">
        <v>12894205</v>
      </c>
      <c r="D10570">
        <v>944</v>
      </c>
    </row>
    <row r="10571" spans="1:4" x14ac:dyDescent="0.25">
      <c r="A10571" t="str">
        <f>T("   840999")</f>
        <v xml:space="preserve">   840999</v>
      </c>
      <c r="B10571"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10571">
        <v>1159861</v>
      </c>
      <c r="D10571">
        <v>806</v>
      </c>
    </row>
    <row r="10572" spans="1:4" x14ac:dyDescent="0.25">
      <c r="A10572" t="str">
        <f>T("   841330")</f>
        <v xml:space="preserve">   841330</v>
      </c>
      <c r="B10572"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10572">
        <v>695163</v>
      </c>
      <c r="D10572">
        <v>25</v>
      </c>
    </row>
    <row r="10573" spans="1:4" x14ac:dyDescent="0.25">
      <c r="A10573" t="str">
        <f>T("   841480")</f>
        <v xml:space="preserve">   841480</v>
      </c>
      <c r="B10573" t="s">
        <v>399</v>
      </c>
      <c r="C10573">
        <v>7695723</v>
      </c>
      <c r="D10573">
        <v>564</v>
      </c>
    </row>
    <row r="10574" spans="1:4" x14ac:dyDescent="0.25">
      <c r="A10574" t="str">
        <f>T("   841510")</f>
        <v xml:space="preserve">   841510</v>
      </c>
      <c r="B10574" t="s">
        <v>400</v>
      </c>
      <c r="C10574">
        <v>3482096</v>
      </c>
      <c r="D10574">
        <v>7359</v>
      </c>
    </row>
    <row r="10575" spans="1:4" x14ac:dyDescent="0.25">
      <c r="A10575" t="str">
        <f>T("   841829")</f>
        <v xml:space="preserve">   841829</v>
      </c>
      <c r="B10575" t="str">
        <f>T("   Réfrigérateurs ménagers à absorption, non-électriques")</f>
        <v xml:space="preserve">   Réfrigérateurs ménagers à absorption, non-électriques</v>
      </c>
      <c r="C10575">
        <v>7609723</v>
      </c>
      <c r="D10575">
        <v>5649</v>
      </c>
    </row>
    <row r="10576" spans="1:4" x14ac:dyDescent="0.25">
      <c r="A10576" t="str">
        <f>T("   841899")</f>
        <v xml:space="preserve">   841899</v>
      </c>
      <c r="B10576"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10576">
        <v>199994</v>
      </c>
      <c r="D10576">
        <v>50</v>
      </c>
    </row>
    <row r="10577" spans="1:4" x14ac:dyDescent="0.25">
      <c r="A10577" t="str">
        <f>T("   841989")</f>
        <v xml:space="preserve">   841989</v>
      </c>
      <c r="B10577" t="s">
        <v>405</v>
      </c>
      <c r="C10577">
        <v>172517</v>
      </c>
      <c r="D10577">
        <v>1</v>
      </c>
    </row>
    <row r="10578" spans="1:4" x14ac:dyDescent="0.25">
      <c r="A10578" t="str">
        <f>T("   842139")</f>
        <v xml:space="preserve">   842139</v>
      </c>
      <c r="B10578"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10578">
        <v>468762</v>
      </c>
      <c r="D10578">
        <v>15</v>
      </c>
    </row>
    <row r="10579" spans="1:4" x14ac:dyDescent="0.25">
      <c r="A10579" t="str">
        <f>T("   842199")</f>
        <v xml:space="preserve">   842199</v>
      </c>
      <c r="B10579" t="str">
        <f>T("   Parties d'appareils pour la filtration ou l'épuration des liquides ou des gaz, n.d.a.")</f>
        <v xml:space="preserve">   Parties d'appareils pour la filtration ou l'épuration des liquides ou des gaz, n.d.a.</v>
      </c>
      <c r="C10579">
        <v>7197440</v>
      </c>
      <c r="D10579">
        <v>485</v>
      </c>
    </row>
    <row r="10580" spans="1:4" x14ac:dyDescent="0.25">
      <c r="A10580" t="str">
        <f>T("   843120")</f>
        <v xml:space="preserve">   843120</v>
      </c>
      <c r="B10580" t="str">
        <f>T("   Parties de chariots-gerbeurs et autres chariots de manutention munis d'un dispositif de levage, n.d.a.")</f>
        <v xml:space="preserve">   Parties de chariots-gerbeurs et autres chariots de manutention munis d'un dispositif de levage, n.d.a.</v>
      </c>
      <c r="C10580">
        <v>1266850</v>
      </c>
      <c r="D10580">
        <v>1088</v>
      </c>
    </row>
    <row r="10581" spans="1:4" x14ac:dyDescent="0.25">
      <c r="A10581" t="str">
        <f>T("   843139")</f>
        <v xml:space="preserve">   843139</v>
      </c>
      <c r="B10581" t="str">
        <f>T("   Parties de machines et appareils du n° 8428, n.d.a.")</f>
        <v xml:space="preserve">   Parties de machines et appareils du n° 8428, n.d.a.</v>
      </c>
      <c r="C10581">
        <v>422660</v>
      </c>
      <c r="D10581">
        <v>2</v>
      </c>
    </row>
    <row r="10582" spans="1:4" x14ac:dyDescent="0.25">
      <c r="A10582" t="str">
        <f>T("   843149")</f>
        <v xml:space="preserve">   843149</v>
      </c>
      <c r="B10582" t="str">
        <f>T("   Parties de machines et appareils du n° 8426, 8429 ou 8430, n.d.a.")</f>
        <v xml:space="preserve">   Parties de machines et appareils du n° 8426, 8429 ou 8430, n.d.a.</v>
      </c>
      <c r="C10582">
        <v>6664288</v>
      </c>
      <c r="D10582">
        <v>426</v>
      </c>
    </row>
    <row r="10583" spans="1:4" x14ac:dyDescent="0.25">
      <c r="A10583" t="str">
        <f>T("   843680")</f>
        <v xml:space="preserve">   843680</v>
      </c>
      <c r="B10583" t="str">
        <f>T("   Machines et appareils pour l'agriculture, la sylviculture, l'horticulture ou l'apiculture, n.d.a.")</f>
        <v xml:space="preserve">   Machines et appareils pour l'agriculture, la sylviculture, l'horticulture ou l'apiculture, n.d.a.</v>
      </c>
      <c r="C10583">
        <v>4280596</v>
      </c>
      <c r="D10583">
        <v>1800</v>
      </c>
    </row>
    <row r="10584" spans="1:4" x14ac:dyDescent="0.25">
      <c r="A10584" t="str">
        <f>T("   843860")</f>
        <v xml:space="preserve">   843860</v>
      </c>
      <c r="B10584" t="s">
        <v>417</v>
      </c>
      <c r="C10584">
        <v>50000</v>
      </c>
      <c r="D10584">
        <v>31</v>
      </c>
    </row>
    <row r="10585" spans="1:4" x14ac:dyDescent="0.25">
      <c r="A10585" t="str">
        <f>T("   843890")</f>
        <v xml:space="preserve">   843890</v>
      </c>
      <c r="B10585"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10585">
        <v>82454172</v>
      </c>
      <c r="D10585">
        <v>11760</v>
      </c>
    </row>
    <row r="10586" spans="1:4" x14ac:dyDescent="0.25">
      <c r="A10586" t="str">
        <f>T("   845011")</f>
        <v xml:space="preserve">   845011</v>
      </c>
      <c r="B10586" t="str">
        <f>T("   Machines à laver le linge entièrement automatiques, d'une capacité unitaire exprimée en poids de linge sec &lt;= 6 kg")</f>
        <v xml:space="preserve">   Machines à laver le linge entièrement automatiques, d'une capacité unitaire exprimée en poids de linge sec &lt;= 6 kg</v>
      </c>
      <c r="C10586">
        <v>884234</v>
      </c>
      <c r="D10586">
        <v>65</v>
      </c>
    </row>
    <row r="10587" spans="1:4" x14ac:dyDescent="0.25">
      <c r="A10587" t="str">
        <f>T("   845019")</f>
        <v xml:space="preserve">   845019</v>
      </c>
      <c r="B10587"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10587">
        <v>2101471</v>
      </c>
      <c r="D10587">
        <v>1523</v>
      </c>
    </row>
    <row r="10588" spans="1:4" x14ac:dyDescent="0.25">
      <c r="A10588" t="str">
        <f>T("   846210")</f>
        <v xml:space="preserve">   846210</v>
      </c>
      <c r="B10588" t="str">
        <f>T("   Machines, y.c. -les presses-, à forger ou à estamper, moutons, marteaux-pilons et martinets, pour le travail des métaux")</f>
        <v xml:space="preserve">   Machines, y.c. -les presses-, à forger ou à estamper, moutons, marteaux-pilons et martinets, pour le travail des métaux</v>
      </c>
      <c r="C10588">
        <v>2090188</v>
      </c>
      <c r="D10588">
        <v>43</v>
      </c>
    </row>
    <row r="10589" spans="1:4" x14ac:dyDescent="0.25">
      <c r="A10589" t="str">
        <f>T("   846330")</f>
        <v xml:space="preserve">   846330</v>
      </c>
      <c r="B10589" t="str">
        <f>T("   Machines-outils pour le travail des métaux sous forme de fil sans enlèvement de matière (à l'excl. des machines à rouler les fils du n° 8461 et des machines pour emploi à la main)")</f>
        <v xml:space="preserve">   Machines-outils pour le travail des métaux sous forme de fil sans enlèvement de matière (à l'excl. des machines à rouler les fils du n° 8461 et des machines pour emploi à la main)</v>
      </c>
      <c r="C10589">
        <v>12843696</v>
      </c>
      <c r="D10589">
        <v>422</v>
      </c>
    </row>
    <row r="10590" spans="1:4" x14ac:dyDescent="0.25">
      <c r="A10590" t="str">
        <f>T("   847190")</f>
        <v xml:space="preserve">   847190</v>
      </c>
      <c r="B1059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0590">
        <v>400000</v>
      </c>
      <c r="D10590">
        <v>99</v>
      </c>
    </row>
    <row r="10591" spans="1:4" x14ac:dyDescent="0.25">
      <c r="A10591" t="str">
        <f>T("   848120")</f>
        <v xml:space="preserve">   848120</v>
      </c>
      <c r="B10591" t="str">
        <f>T("   Valves pour transmissions oléohydrauliques ou pneumatiques")</f>
        <v xml:space="preserve">   Valves pour transmissions oléohydrauliques ou pneumatiques</v>
      </c>
      <c r="C10591">
        <v>417847</v>
      </c>
      <c r="D10591">
        <v>5</v>
      </c>
    </row>
    <row r="10592" spans="1:4" x14ac:dyDescent="0.25">
      <c r="A10592" t="str">
        <f>T("   848180")</f>
        <v xml:space="preserve">   848180</v>
      </c>
      <c r="B10592"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0592">
        <v>14104072</v>
      </c>
      <c r="D10592">
        <v>3196</v>
      </c>
    </row>
    <row r="10593" spans="1:4" x14ac:dyDescent="0.25">
      <c r="A10593" t="str">
        <f>T("   848350")</f>
        <v xml:space="preserve">   848350</v>
      </c>
      <c r="B10593" t="str">
        <f>T("   Volants et poulies, y.c. les poulies à moufles")</f>
        <v xml:space="preserve">   Volants et poulies, y.c. les poulies à moufles</v>
      </c>
      <c r="C10593">
        <v>88680</v>
      </c>
      <c r="D10593">
        <v>2</v>
      </c>
    </row>
    <row r="10594" spans="1:4" x14ac:dyDescent="0.25">
      <c r="A10594" t="str">
        <f>T("   848490")</f>
        <v xml:space="preserve">   848490</v>
      </c>
      <c r="B10594" t="str">
        <f>T("   Jeux ou assortiments de joints de composition différente présentés en pochettes, enveloppes ou emballages analogues")</f>
        <v xml:space="preserve">   Jeux ou assortiments de joints de composition différente présentés en pochettes, enveloppes ou emballages analogues</v>
      </c>
      <c r="C10594">
        <v>59062</v>
      </c>
      <c r="D10594">
        <v>2</v>
      </c>
    </row>
    <row r="10595" spans="1:4" x14ac:dyDescent="0.25">
      <c r="A10595" t="str">
        <f>T("   850440")</f>
        <v xml:space="preserve">   850440</v>
      </c>
      <c r="B10595" t="str">
        <f>T("   CONVERTISSEURS STATIQUES")</f>
        <v xml:space="preserve">   CONVERTISSEURS STATIQUES</v>
      </c>
      <c r="C10595">
        <v>2499864</v>
      </c>
      <c r="D10595">
        <v>183</v>
      </c>
    </row>
    <row r="10596" spans="1:4" x14ac:dyDescent="0.25">
      <c r="A10596" t="str">
        <f>T("   850910")</f>
        <v xml:space="preserve">   850910</v>
      </c>
      <c r="B10596"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10596">
        <v>171129</v>
      </c>
      <c r="D10596">
        <v>88</v>
      </c>
    </row>
    <row r="10597" spans="1:4" x14ac:dyDescent="0.25">
      <c r="A10597" t="str">
        <f>T("   851110")</f>
        <v xml:space="preserve">   851110</v>
      </c>
      <c r="B10597" t="str">
        <f>T("   Bougies d'allumage pour moteurs à allumage par étincelles ou par compression")</f>
        <v xml:space="preserve">   Bougies d'allumage pour moteurs à allumage par étincelles ou par compression</v>
      </c>
      <c r="C10597">
        <v>561319</v>
      </c>
      <c r="D10597">
        <v>18</v>
      </c>
    </row>
    <row r="10598" spans="1:4" x14ac:dyDescent="0.25">
      <c r="A10598" t="str">
        <f>T("   851220")</f>
        <v xml:space="preserve">   851220</v>
      </c>
      <c r="B10598" t="str">
        <f>T("   Appareils électriques d'éclairage ou de signalisation visuelle, pour automobiles (à l'excl. des lampes du n° 8539)")</f>
        <v xml:space="preserve">   Appareils électriques d'éclairage ou de signalisation visuelle, pour automobiles (à l'excl. des lampes du n° 8539)</v>
      </c>
      <c r="C10598">
        <v>277544</v>
      </c>
      <c r="D10598">
        <v>19</v>
      </c>
    </row>
    <row r="10599" spans="1:4" x14ac:dyDescent="0.25">
      <c r="A10599" t="str">
        <f>T("   851290")</f>
        <v xml:space="preserve">   851290</v>
      </c>
      <c r="B10599" t="str">
        <f>T("   PARTIES DES APPAREILS ÉLECTRIQUES D'ÉCLAIRAGE, DE SIGNALISATION, ESSUIE-GLACES, DÉGIVREURS ET DISPOSITIFS ANTIBUÉE, DES TYPES UTILISÉS POUR CYCLES ET POUR AUTOMOBILES, N.D.A.")</f>
        <v xml:space="preserve">   PARTIES DES APPAREILS ÉLECTRIQUES D'ÉCLAIRAGE, DE SIGNALISATION, ESSUIE-GLACES, DÉGIVREURS ET DISPOSITIFS ANTIBUÉE, DES TYPES UTILISÉS POUR CYCLES ET POUR AUTOMOBILES, N.D.A.</v>
      </c>
      <c r="C10599">
        <v>140929</v>
      </c>
      <c r="D10599">
        <v>3</v>
      </c>
    </row>
    <row r="10600" spans="1:4" x14ac:dyDescent="0.25">
      <c r="A10600" t="str">
        <f>T("   851650")</f>
        <v xml:space="preserve">   851650</v>
      </c>
      <c r="B10600" t="str">
        <f>T("   Fours à micro-ondes")</f>
        <v xml:space="preserve">   Fours à micro-ondes</v>
      </c>
      <c r="C10600">
        <v>415000</v>
      </c>
      <c r="D10600">
        <v>1850</v>
      </c>
    </row>
    <row r="10601" spans="1:4" x14ac:dyDescent="0.25">
      <c r="A10601" t="str">
        <f>T("   851679")</f>
        <v xml:space="preserve">   851679</v>
      </c>
      <c r="B10601" t="s">
        <v>451</v>
      </c>
      <c r="C10601">
        <v>587205</v>
      </c>
      <c r="D10601">
        <v>594</v>
      </c>
    </row>
    <row r="10602" spans="1:4" x14ac:dyDescent="0.25">
      <c r="A10602" t="str">
        <f>T("   851790")</f>
        <v xml:space="preserve">   851790</v>
      </c>
      <c r="B10602" t="s">
        <v>454</v>
      </c>
      <c r="C10602">
        <v>4740772</v>
      </c>
      <c r="D10602">
        <v>9</v>
      </c>
    </row>
    <row r="10603" spans="1:4" x14ac:dyDescent="0.25">
      <c r="A10603" t="str">
        <f>T("   852190")</f>
        <v xml:space="preserve">   852190</v>
      </c>
      <c r="B10603" t="s">
        <v>457</v>
      </c>
      <c r="C10603">
        <v>4243425</v>
      </c>
      <c r="D10603">
        <v>8102</v>
      </c>
    </row>
    <row r="10604" spans="1:4" x14ac:dyDescent="0.25">
      <c r="A10604" t="str">
        <f>T("   852691")</f>
        <v xml:space="preserve">   852691</v>
      </c>
      <c r="B10604" t="str">
        <f>T("   Appareils de radionavigation")</f>
        <v xml:space="preserve">   Appareils de radionavigation</v>
      </c>
      <c r="C10604">
        <v>6325503</v>
      </c>
      <c r="D10604">
        <v>527</v>
      </c>
    </row>
    <row r="10605" spans="1:4" x14ac:dyDescent="0.25">
      <c r="A10605" t="str">
        <f>T("   852713")</f>
        <v xml:space="preserve">   852713</v>
      </c>
      <c r="B10605"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10605">
        <v>1980195</v>
      </c>
      <c r="D10605">
        <v>1014</v>
      </c>
    </row>
    <row r="10606" spans="1:4" x14ac:dyDescent="0.25">
      <c r="A10606" t="str">
        <f>T("   852812")</f>
        <v xml:space="preserve">   852812</v>
      </c>
      <c r="B10606"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606">
        <v>20548516</v>
      </c>
      <c r="D10606">
        <v>13757</v>
      </c>
    </row>
    <row r="10607" spans="1:4" x14ac:dyDescent="0.25">
      <c r="A10607" t="str">
        <f>T("   852910")</f>
        <v xml:space="preserve">   852910</v>
      </c>
      <c r="B10607"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0607">
        <v>5655851</v>
      </c>
      <c r="D10607">
        <v>1203</v>
      </c>
    </row>
    <row r="10608" spans="1:4" x14ac:dyDescent="0.25">
      <c r="A10608" t="str">
        <f>T("   852990")</f>
        <v xml:space="preserve">   852990</v>
      </c>
      <c r="B10608" t="s">
        <v>464</v>
      </c>
      <c r="C10608">
        <v>13440702</v>
      </c>
      <c r="D10608">
        <v>826</v>
      </c>
    </row>
    <row r="10609" spans="1:4" x14ac:dyDescent="0.25">
      <c r="A10609" t="str">
        <f>T("   853650")</f>
        <v xml:space="preserve">   853650</v>
      </c>
      <c r="B10609" t="str">
        <f>T("   Interrupteurs, sectionneurs et commutateurs, pour une tension &lt;= 1.000 V (autres que relais et disjoncteurs)")</f>
        <v xml:space="preserve">   Interrupteurs, sectionneurs et commutateurs, pour une tension &lt;= 1.000 V (autres que relais et disjoncteurs)</v>
      </c>
      <c r="C10609">
        <v>540625</v>
      </c>
      <c r="D10609">
        <v>6</v>
      </c>
    </row>
    <row r="10610" spans="1:4" x14ac:dyDescent="0.25">
      <c r="A10610" t="str">
        <f>T("   853669")</f>
        <v xml:space="preserve">   853669</v>
      </c>
      <c r="B10610" t="str">
        <f>T("   Fiches et prises de courant, pour une tension &lt;= 1.000 V (sauf douilles pour lampes)")</f>
        <v xml:space="preserve">   Fiches et prises de courant, pour une tension &lt;= 1.000 V (sauf douilles pour lampes)</v>
      </c>
      <c r="C10610">
        <v>1916441</v>
      </c>
      <c r="D10610">
        <v>11500</v>
      </c>
    </row>
    <row r="10611" spans="1:4" x14ac:dyDescent="0.25">
      <c r="A10611" t="str">
        <f>T("   854210")</f>
        <v xml:space="preserve">   854210</v>
      </c>
      <c r="B10611" t="str">
        <f>T("   Cartes munies d'un circuit intégré électronique [cartes intelligentes], munies ou non d'une piste magnétique")</f>
        <v xml:space="preserve">   Cartes munies d'un circuit intégré électronique [cartes intelligentes], munies ou non d'une piste magnétique</v>
      </c>
      <c r="C10611">
        <v>25976016</v>
      </c>
      <c r="D10611">
        <v>290</v>
      </c>
    </row>
    <row r="10612" spans="1:4" x14ac:dyDescent="0.25">
      <c r="A10612" t="str">
        <f>T("   870322")</f>
        <v xml:space="preserve">   870322</v>
      </c>
      <c r="B10612" t="s">
        <v>472</v>
      </c>
      <c r="C10612">
        <v>1200000</v>
      </c>
      <c r="D10612">
        <v>3300</v>
      </c>
    </row>
    <row r="10613" spans="1:4" x14ac:dyDescent="0.25">
      <c r="A10613" t="str">
        <f>T("   870421")</f>
        <v xml:space="preserve">   870421</v>
      </c>
      <c r="B10613" t="s">
        <v>478</v>
      </c>
      <c r="C10613">
        <v>79359699</v>
      </c>
      <c r="D10613">
        <v>15432</v>
      </c>
    </row>
    <row r="10614" spans="1:4" x14ac:dyDescent="0.25">
      <c r="A10614" t="str">
        <f>T("   870899")</f>
        <v xml:space="preserve">   870899</v>
      </c>
      <c r="B1061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0614">
        <v>21208842</v>
      </c>
      <c r="D10614">
        <v>831</v>
      </c>
    </row>
    <row r="10615" spans="1:4" x14ac:dyDescent="0.25">
      <c r="A10615" t="str">
        <f>T("   871140")</f>
        <v xml:space="preserve">   871140</v>
      </c>
      <c r="B10615" t="str">
        <f>T("   Motocycles à moteur à piston alternatif, cylindrée &gt; 500 cm³ mais &lt;= 800 cm³")</f>
        <v xml:space="preserve">   Motocycles à moteur à piston alternatif, cylindrée &gt; 500 cm³ mais &lt;= 800 cm³</v>
      </c>
      <c r="C10615">
        <v>10219201</v>
      </c>
      <c r="D10615">
        <v>5340</v>
      </c>
    </row>
    <row r="10616" spans="1:4" x14ac:dyDescent="0.25">
      <c r="A10616" t="str">
        <f>T("   890399")</f>
        <v xml:space="preserve">   890399</v>
      </c>
      <c r="B10616"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10616">
        <v>655960</v>
      </c>
      <c r="D10616">
        <v>850</v>
      </c>
    </row>
    <row r="10617" spans="1:4" x14ac:dyDescent="0.25">
      <c r="A10617" t="str">
        <f>T("   901890")</f>
        <v xml:space="preserve">   901890</v>
      </c>
      <c r="B10617" t="str">
        <f>T("   Instruments et appareils pour la médecine, la chirurgie ou l'art vétérinaire, n.d.a.")</f>
        <v xml:space="preserve">   Instruments et appareils pour la médecine, la chirurgie ou l'art vétérinaire, n.d.a.</v>
      </c>
      <c r="C10617">
        <v>10697395</v>
      </c>
      <c r="D10617">
        <v>784</v>
      </c>
    </row>
    <row r="10618" spans="1:4" x14ac:dyDescent="0.25">
      <c r="A10618" t="str">
        <f>T("   902710")</f>
        <v xml:space="preserve">   902710</v>
      </c>
      <c r="B10618" t="str">
        <f>T("   Analyseurs de gaz ou de fumées")</f>
        <v xml:space="preserve">   Analyseurs de gaz ou de fumées</v>
      </c>
      <c r="C10618">
        <v>7350608</v>
      </c>
      <c r="D10618">
        <v>69</v>
      </c>
    </row>
    <row r="10619" spans="1:4" x14ac:dyDescent="0.25">
      <c r="A10619" t="str">
        <f>T("   902780")</f>
        <v xml:space="preserve">   902780</v>
      </c>
      <c r="B10619"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10619">
        <v>4309001</v>
      </c>
      <c r="D10619">
        <v>316</v>
      </c>
    </row>
    <row r="10620" spans="1:4" x14ac:dyDescent="0.25">
      <c r="A10620" t="str">
        <f>T("   903290")</f>
        <v xml:space="preserve">   903290</v>
      </c>
      <c r="B10620" t="str">
        <f>T("   Parties et accessoires des instruments et appareils pour la régulation ou le contrôle automatiques, n.d.a.")</f>
        <v xml:space="preserve">   Parties et accessoires des instruments et appareils pour la régulation ou le contrôle automatiques, n.d.a.</v>
      </c>
      <c r="C10620">
        <v>1412166</v>
      </c>
      <c r="D10620">
        <v>105</v>
      </c>
    </row>
    <row r="10621" spans="1:4" x14ac:dyDescent="0.25">
      <c r="A10621" t="str">
        <f>T("   920510")</f>
        <v xml:space="preserve">   920510</v>
      </c>
      <c r="B10621" t="str">
        <f>T("   Instruments dits 'cuivres'")</f>
        <v xml:space="preserve">   Instruments dits 'cuivres'</v>
      </c>
      <c r="C10621">
        <v>1102505</v>
      </c>
      <c r="D10621">
        <v>565</v>
      </c>
    </row>
    <row r="10622" spans="1:4" x14ac:dyDescent="0.25">
      <c r="A10622" t="str">
        <f>T("   920590")</f>
        <v xml:space="preserve">   920590</v>
      </c>
      <c r="B10622" t="s">
        <v>503</v>
      </c>
      <c r="C10622">
        <v>2732295</v>
      </c>
      <c r="D10622">
        <v>779</v>
      </c>
    </row>
    <row r="10623" spans="1:4" x14ac:dyDescent="0.25">
      <c r="A10623" t="str">
        <f>T("   940169")</f>
        <v xml:space="preserve">   940169</v>
      </c>
      <c r="B10623" t="str">
        <f>T("   Sièges, avec bâti en bois, non rembourrés")</f>
        <v xml:space="preserve">   Sièges, avec bâti en bois, non rembourrés</v>
      </c>
      <c r="C10623">
        <v>1561059</v>
      </c>
      <c r="D10623">
        <v>458</v>
      </c>
    </row>
    <row r="10624" spans="1:4" x14ac:dyDescent="0.25">
      <c r="A10624" t="str">
        <f>T("   940180")</f>
        <v xml:space="preserve">   940180</v>
      </c>
      <c r="B10624" t="str">
        <f>T("   Sièges, n.d.a.")</f>
        <v xml:space="preserve">   Sièges, n.d.a.</v>
      </c>
      <c r="C10624">
        <v>2991503</v>
      </c>
      <c r="D10624">
        <v>878</v>
      </c>
    </row>
    <row r="10625" spans="1:4" x14ac:dyDescent="0.25">
      <c r="A10625" t="str">
        <f>T("   940350")</f>
        <v xml:space="preserve">   940350</v>
      </c>
      <c r="B10625" t="str">
        <f>T("   Meubles pour chambres à coucher, en bois (sauf sièges)")</f>
        <v xml:space="preserve">   Meubles pour chambres à coucher, en bois (sauf sièges)</v>
      </c>
      <c r="C10625">
        <v>2537610</v>
      </c>
      <c r="D10625">
        <v>3131</v>
      </c>
    </row>
    <row r="10626" spans="1:4" x14ac:dyDescent="0.25">
      <c r="A10626" t="str">
        <f>T("   940360")</f>
        <v xml:space="preserve">   940360</v>
      </c>
      <c r="B10626" t="str">
        <f>T("   Meubles en bois (autres que pour bureaux, cuisines ou chambres à coucher et autres que sièges)")</f>
        <v xml:space="preserve">   Meubles en bois (autres que pour bureaux, cuisines ou chambres à coucher et autres que sièges)</v>
      </c>
      <c r="C10626">
        <v>2259609</v>
      </c>
      <c r="D10626">
        <v>664</v>
      </c>
    </row>
    <row r="10627" spans="1:4" x14ac:dyDescent="0.25">
      <c r="A10627" t="str">
        <f>T("   940380")</f>
        <v xml:space="preserve">   940380</v>
      </c>
      <c r="B10627" t="str">
        <f>T("   Meubles en rotin, osier, bambou ou autres matières (sauf métal, bois et matières plastiques)")</f>
        <v xml:space="preserve">   Meubles en rotin, osier, bambou ou autres matières (sauf métal, bois et matières plastiques)</v>
      </c>
      <c r="C10627">
        <v>17466406</v>
      </c>
      <c r="D10627">
        <v>4250</v>
      </c>
    </row>
    <row r="10628" spans="1:4" x14ac:dyDescent="0.25">
      <c r="A10628" t="str">
        <f>T("   950299")</f>
        <v xml:space="preserve">   950299</v>
      </c>
      <c r="B10628" t="str">
        <f>T("   Parties et accessoires pour poupées représentant uniquement l'être humain, n.d.a.")</f>
        <v xml:space="preserve">   Parties et accessoires pour poupées représentant uniquement l'être humain, n.d.a.</v>
      </c>
      <c r="C10628">
        <v>190000</v>
      </c>
      <c r="D10628">
        <v>291</v>
      </c>
    </row>
    <row r="10629" spans="1:4" x14ac:dyDescent="0.25">
      <c r="A10629" t="str">
        <f>T("   950390")</f>
        <v xml:space="preserve">   950390</v>
      </c>
      <c r="B10629" t="str">
        <f>T("   Jouets, n.d.a.")</f>
        <v xml:space="preserve">   Jouets, n.d.a.</v>
      </c>
      <c r="C10629">
        <v>2509871</v>
      </c>
      <c r="D10629">
        <v>18675</v>
      </c>
    </row>
    <row r="10630" spans="1:4" x14ac:dyDescent="0.25">
      <c r="A10630" t="str">
        <f>T("   950590")</f>
        <v xml:space="preserve">   950590</v>
      </c>
      <c r="B10630" t="str">
        <f>T("   Articles pour fêtes, carnaval ou autres divertissements, y.c. les articles de magie et articles-surprises, n.d.a.")</f>
        <v xml:space="preserve">   Articles pour fêtes, carnaval ou autres divertissements, y.c. les articles de magie et articles-surprises, n.d.a.</v>
      </c>
      <c r="C10630">
        <v>14282234</v>
      </c>
      <c r="D10630">
        <v>468</v>
      </c>
    </row>
    <row r="10631" spans="1:4" x14ac:dyDescent="0.25">
      <c r="A10631" t="str">
        <f>T("   950691")</f>
        <v xml:space="preserve">   950691</v>
      </c>
      <c r="B10631" t="str">
        <f>T("   Articles et matériel pour la culture physique, la gymnastique ou l'athlétisme")</f>
        <v xml:space="preserve">   Articles et matériel pour la culture physique, la gymnastique ou l'athlétisme</v>
      </c>
      <c r="C10631">
        <v>475353</v>
      </c>
      <c r="D10631">
        <v>80</v>
      </c>
    </row>
    <row r="10632" spans="1:4" x14ac:dyDescent="0.25">
      <c r="A10632" t="str">
        <f>T("ZM")</f>
        <v>ZM</v>
      </c>
      <c r="B10632" t="str">
        <f>T("Zambie")</f>
        <v>Zambie</v>
      </c>
    </row>
    <row r="10633" spans="1:4" x14ac:dyDescent="0.25">
      <c r="A10633" t="str">
        <f>T("   ZZ_Total_Produit_SH6")</f>
        <v xml:space="preserve">   ZZ_Total_Produit_SH6</v>
      </c>
      <c r="B10633" t="str">
        <f>T("   ZZ_Total_Produit_SH6")</f>
        <v xml:space="preserve">   ZZ_Total_Produit_SH6</v>
      </c>
      <c r="C10633">
        <v>6831168</v>
      </c>
      <c r="D10633">
        <v>1374</v>
      </c>
    </row>
    <row r="10634" spans="1:4" x14ac:dyDescent="0.25">
      <c r="A10634" t="str">
        <f>T("   850152")</f>
        <v xml:space="preserve">   850152</v>
      </c>
      <c r="B10634" t="str">
        <f>T("   Moteurs à courant alternatif, polyphasés, puissance &gt; 750 W mais &lt;= 75 kW")</f>
        <v xml:space="preserve">   Moteurs à courant alternatif, polyphasés, puissance &gt; 750 W mais &lt;= 75 kW</v>
      </c>
      <c r="C10634">
        <v>6831168</v>
      </c>
      <c r="D10634">
        <v>1374</v>
      </c>
    </row>
    <row r="10635" spans="1:4" s="1" customFormat="1" x14ac:dyDescent="0.25">
      <c r="A10635" s="1" t="str">
        <f>T("   ZZ_Total_Produit_SH6")</f>
        <v xml:space="preserve">   ZZ_Total_Produit_SH6</v>
      </c>
      <c r="B10635" s="1" t="str">
        <f>T("   ZZ_Total_Produit_SH6")</f>
        <v xml:space="preserve">   ZZ_Total_Produit_SH6</v>
      </c>
      <c r="C10635" s="1">
        <v>963903669269.37903</v>
      </c>
      <c r="D10635" s="1">
        <v>3080142656.4499998</v>
      </c>
    </row>
    <row r="10637" spans="1:4" x14ac:dyDescent="0.25">
      <c r="A10637" t="s">
        <v>509</v>
      </c>
    </row>
    <row r="10638" spans="1:4" x14ac:dyDescent="0.25">
      <c r="A10638" t="s">
        <v>510</v>
      </c>
    </row>
    <row r="10639" spans="1:4" x14ac:dyDescent="0.25">
      <c r="A10639" t="s">
        <v>511</v>
      </c>
    </row>
  </sheetData>
  <pageMargins left="0.7" right="0.7" top="0.75" bottom="0.75" header="0.3" footer="0.3"/>
</worksheet>
</file>